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8620" windowHeight="14955"/>
  </bookViews>
  <sheets>
    <sheet name="Balans" sheetId="1" r:id="rId1"/>
    <sheet name="Winst &amp; Verlies" sheetId="2" r:id="rId2"/>
    <sheet name="Criteria" sheetId="4" r:id="rId3"/>
  </sheets>
  <definedNames>
    <definedName name="_xlnm.Print_Area" localSheetId="0">Balans!$A$1:$K$73</definedName>
    <definedName name="_xlnm.Print_Area" localSheetId="1">'Winst &amp; Verlies'!$A$1:$K$73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Balans!$A$1:$K$69</definedName>
    <definedName name="ExactAddinReport1.Data" localSheetId="0" hidden="1">"AfterEntry=-1;Baltype=B;Cat1=A;Cat10=K;Cat2=B;Cat3=C;Cat4=D;Cat5=K;Cat6=K;Cat7=K;Cat8=K;Cat9=K;Currency=EUR;ExRateDate=42982;FinYear1=2016;Ledger.from=;Ledger.to=999999999;Ledger.all=-1;Mutex2=R;Precision1=0;ReportDate_Fip=42735;TransType_Fip=S;XYears"</definedName>
    <definedName name="ExactAddinReport1.Data.2" localSheetId="0" hidden="1">"=1;YearEndBalance=-1;ZeroBal1=0;butInfo=0;fipCalMethod=1;fipCloseEntry=0;mtxAdvanced=1;System.Wizard=balance;System.Company=-1;System.Update=-1"</definedName>
    <definedName name="ExactAddinReports" hidden="1">1</definedName>
  </definedNames>
  <calcPr calcId="145621"/>
</workbook>
</file>

<file path=xl/calcChain.xml><?xml version="1.0" encoding="utf-8"?>
<calcChain xmlns="http://schemas.openxmlformats.org/spreadsheetml/2006/main">
  <c r="K72" i="2" l="1"/>
  <c r="A66" i="2"/>
  <c r="B64" i="2"/>
  <c r="C62" i="2"/>
  <c r="D60" i="2"/>
  <c r="I59" i="2"/>
  <c r="J60" i="2" s="1"/>
  <c r="G59" i="2"/>
  <c r="G60" i="2" s="1"/>
  <c r="J58" i="2"/>
  <c r="H58" i="2"/>
  <c r="H60" i="2" s="1"/>
  <c r="H55" i="2"/>
  <c r="D55" i="2"/>
  <c r="J54" i="2"/>
  <c r="J55" i="2" s="1"/>
  <c r="H54" i="2"/>
  <c r="G55" i="2" s="1"/>
  <c r="I51" i="2"/>
  <c r="D51" i="2"/>
  <c r="J50" i="2"/>
  <c r="J51" i="2" s="1"/>
  <c r="H50" i="2"/>
  <c r="G51" i="2" s="1"/>
  <c r="B45" i="2"/>
  <c r="C43" i="2"/>
  <c r="H41" i="2"/>
  <c r="D41" i="2"/>
  <c r="I40" i="2"/>
  <c r="G40" i="2"/>
  <c r="C36" i="2"/>
  <c r="D34" i="2"/>
  <c r="K33" i="2"/>
  <c r="I33" i="2"/>
  <c r="G33" i="2"/>
  <c r="G34" i="2" s="1"/>
  <c r="I32" i="2"/>
  <c r="J34" i="2" s="1"/>
  <c r="G32" i="2"/>
  <c r="H34" i="2" s="1"/>
  <c r="I29" i="2"/>
  <c r="D29" i="2"/>
  <c r="K28" i="2"/>
  <c r="I28" i="2"/>
  <c r="G28" i="2"/>
  <c r="C24" i="2"/>
  <c r="H22" i="2"/>
  <c r="D22" i="2"/>
  <c r="I21" i="2"/>
  <c r="I22" i="2" s="1"/>
  <c r="G21" i="2"/>
  <c r="G22" i="2" s="1"/>
  <c r="I18" i="2"/>
  <c r="D18" i="2"/>
  <c r="I17" i="2"/>
  <c r="G17" i="2"/>
  <c r="A69" i="1"/>
  <c r="B67" i="1"/>
  <c r="C65" i="1"/>
  <c r="D63" i="1"/>
  <c r="J62" i="1"/>
  <c r="I63" i="1" s="1"/>
  <c r="H62" i="1"/>
  <c r="G63" i="1" s="1"/>
  <c r="C58" i="1"/>
  <c r="H56" i="1"/>
  <c r="D56" i="1"/>
  <c r="J55" i="1"/>
  <c r="J56" i="1" s="1"/>
  <c r="H55" i="1"/>
  <c r="G56" i="1" s="1"/>
  <c r="C51" i="1"/>
  <c r="I49" i="1"/>
  <c r="D49" i="1"/>
  <c r="J48" i="1"/>
  <c r="J49" i="1" s="1"/>
  <c r="H48" i="1"/>
  <c r="G49" i="1" s="1"/>
  <c r="B43" i="1"/>
  <c r="C41" i="1"/>
  <c r="H39" i="1"/>
  <c r="D39" i="1"/>
  <c r="I38" i="1"/>
  <c r="G38" i="1"/>
  <c r="C34" i="1"/>
  <c r="I32" i="1"/>
  <c r="D32" i="1"/>
  <c r="I31" i="1"/>
  <c r="G31" i="1"/>
  <c r="C27" i="1"/>
  <c r="H25" i="1"/>
  <c r="D25" i="1"/>
  <c r="I24" i="1"/>
  <c r="G24" i="1"/>
  <c r="C20" i="1"/>
  <c r="I18" i="1"/>
  <c r="D18" i="1"/>
  <c r="K17" i="1"/>
  <c r="I17" i="1"/>
  <c r="G17" i="1"/>
  <c r="J22" i="2" l="1"/>
  <c r="K22" i="2" s="1"/>
  <c r="I34" i="2"/>
  <c r="K34" i="2" s="1"/>
  <c r="H18" i="2"/>
  <c r="J18" i="2"/>
  <c r="J24" i="2" s="1"/>
  <c r="K21" i="2"/>
  <c r="I24" i="2"/>
  <c r="H29" i="2"/>
  <c r="J29" i="2"/>
  <c r="K32" i="2"/>
  <c r="K40" i="2"/>
  <c r="G41" i="2"/>
  <c r="H43" i="2" s="1"/>
  <c r="I41" i="2"/>
  <c r="H51" i="2"/>
  <c r="H62" i="2" s="1"/>
  <c r="K54" i="2"/>
  <c r="I55" i="2"/>
  <c r="K55" i="2" s="1"/>
  <c r="K59" i="2"/>
  <c r="I60" i="2"/>
  <c r="K60" i="2" s="1"/>
  <c r="K17" i="2"/>
  <c r="G18" i="2"/>
  <c r="H24" i="2"/>
  <c r="G29" i="2"/>
  <c r="H36" i="2" s="1"/>
  <c r="K29" i="2"/>
  <c r="J41" i="2"/>
  <c r="K50" i="2"/>
  <c r="K51" i="2"/>
  <c r="K58" i="2"/>
  <c r="J62" i="2"/>
  <c r="H58" i="1"/>
  <c r="G58" i="1"/>
  <c r="H18" i="1"/>
  <c r="J18" i="1"/>
  <c r="I20" i="1" s="1"/>
  <c r="J20" i="1"/>
  <c r="K24" i="1"/>
  <c r="G25" i="1"/>
  <c r="H27" i="1" s="1"/>
  <c r="I25" i="1"/>
  <c r="J27" i="1" s="1"/>
  <c r="H32" i="1"/>
  <c r="J32" i="1"/>
  <c r="J34" i="1" s="1"/>
  <c r="K38" i="1"/>
  <c r="G39" i="1"/>
  <c r="H41" i="1" s="1"/>
  <c r="I39" i="1"/>
  <c r="H49" i="1"/>
  <c r="G51" i="1" s="1"/>
  <c r="J51" i="1"/>
  <c r="K55" i="1"/>
  <c r="I56" i="1"/>
  <c r="H63" i="1"/>
  <c r="H65" i="1" s="1"/>
  <c r="J63" i="1"/>
  <c r="K63" i="1" s="1"/>
  <c r="G18" i="1"/>
  <c r="K18" i="1"/>
  <c r="J25" i="1"/>
  <c r="K31" i="1"/>
  <c r="G32" i="1"/>
  <c r="G34" i="1" s="1"/>
  <c r="J39" i="1"/>
  <c r="I41" i="1" s="1"/>
  <c r="K48" i="1"/>
  <c r="K49" i="1"/>
  <c r="I51" i="1"/>
  <c r="K62" i="1"/>
  <c r="K41" i="2" l="1"/>
  <c r="G24" i="2"/>
  <c r="G62" i="2"/>
  <c r="G43" i="2"/>
  <c r="G36" i="2"/>
  <c r="J36" i="2"/>
  <c r="K18" i="2"/>
  <c r="I62" i="2"/>
  <c r="J64" i="2" s="1"/>
  <c r="I43" i="2"/>
  <c r="K24" i="2"/>
  <c r="I36" i="2"/>
  <c r="J43" i="2"/>
  <c r="K39" i="1"/>
  <c r="I27" i="1"/>
  <c r="I34" i="1"/>
  <c r="J65" i="1"/>
  <c r="I65" i="1"/>
  <c r="J41" i="1"/>
  <c r="K41" i="1" s="1"/>
  <c r="G65" i="1"/>
  <c r="G67" i="1" s="1"/>
  <c r="K32" i="1"/>
  <c r="G27" i="1"/>
  <c r="J58" i="1"/>
  <c r="I58" i="1"/>
  <c r="K58" i="1" s="1"/>
  <c r="K56" i="1"/>
  <c r="H34" i="1"/>
  <c r="K25" i="1"/>
  <c r="H20" i="1"/>
  <c r="G20" i="1"/>
  <c r="I67" i="1"/>
  <c r="H51" i="1"/>
  <c r="K51" i="1" s="1"/>
  <c r="G41" i="1"/>
  <c r="K36" i="2" l="1"/>
  <c r="I45" i="2"/>
  <c r="J45" i="2"/>
  <c r="K43" i="2"/>
  <c r="H45" i="2"/>
  <c r="G45" i="2"/>
  <c r="K62" i="2"/>
  <c r="I64" i="2"/>
  <c r="I66" i="2" s="1"/>
  <c r="H64" i="2"/>
  <c r="G64" i="2"/>
  <c r="H66" i="2" s="1"/>
  <c r="K65" i="1"/>
  <c r="K34" i="1"/>
  <c r="J67" i="1"/>
  <c r="K67" i="1" s="1"/>
  <c r="H67" i="1"/>
  <c r="H43" i="1"/>
  <c r="K27" i="1"/>
  <c r="G43" i="1"/>
  <c r="H69" i="1" s="1"/>
  <c r="J43" i="1"/>
  <c r="I43" i="1"/>
  <c r="K43" i="1" s="1"/>
  <c r="K20" i="1"/>
  <c r="K64" i="2" l="1"/>
  <c r="A68" i="2"/>
  <c r="G66" i="2"/>
  <c r="I68" i="2"/>
  <c r="J66" i="2"/>
  <c r="K66" i="2" s="1"/>
  <c r="K45" i="2"/>
  <c r="J68" i="2"/>
  <c r="I69" i="1"/>
  <c r="G69" i="1"/>
  <c r="J69" i="1"/>
  <c r="A71" i="1"/>
  <c r="J71" i="1"/>
  <c r="J70" i="2" l="1"/>
  <c r="J72" i="2" s="1"/>
  <c r="H68" i="2"/>
  <c r="H70" i="2" s="1"/>
  <c r="H72" i="2" s="1"/>
  <c r="G68" i="2"/>
  <c r="K68" i="2" s="1"/>
  <c r="I70" i="2"/>
  <c r="I72" i="2" s="1"/>
  <c r="G71" i="1"/>
  <c r="G73" i="1" s="1"/>
  <c r="K69" i="1"/>
  <c r="I71" i="1"/>
  <c r="I73" i="1" s="1"/>
  <c r="J73" i="1"/>
  <c r="H71" i="1"/>
  <c r="H73" i="1" s="1"/>
  <c r="G70" i="2" l="1"/>
  <c r="G72" i="2" s="1"/>
  <c r="K71" i="1"/>
</calcChain>
</file>

<file path=xl/sharedStrings.xml><?xml version="1.0" encoding="utf-8"?>
<sst xmlns="http://schemas.openxmlformats.org/spreadsheetml/2006/main" count="141" uniqueCount="107">
  <si>
    <t>Bedrijf 004 Stichting Co Schippers Fonds</t>
  </si>
  <si>
    <t>Balans - Bj 2016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</si>
  <si>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</si>
  <si>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</si>
  <si>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</si>
  <si>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</si>
  <si>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</si>
  <si>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</si>
  <si>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</si>
  <si>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</si>
  <si>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</si>
  <si>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2016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</si>
  <si>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</si>
  <si>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</si>
  <si>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</si>
  <si>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</si>
  <si>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</si>
  <si>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</si>
  <si>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</si>
  <si>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</si>
  <si>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</si>
  <si>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Nulsaldi</t>
  </si>
  <si>
    <t>Nee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</si>
  <si>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</si>
  <si>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</si>
  <si>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</si>
  <si>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</si>
  <si>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</si>
  <si>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</si>
  <si>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</si>
  <si>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</si>
  <si>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</si>
  <si>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</si>
  <si>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</si>
  <si>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</si>
  <si>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</si>
  <si>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</si>
  <si>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</si>
  <si>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</si>
  <si>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</si>
  <si>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</si>
  <si>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</si>
  <si>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</si>
  <si>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Vaste activa</t>
  </si>
  <si>
    <t>Gebouwen en terreinen</t>
  </si>
  <si>
    <t xml:space="preserve">      110</t>
  </si>
  <si>
    <t>Onroerend Goed</t>
  </si>
  <si>
    <t>Financiële vaste activa</t>
  </si>
  <si>
    <t>Langlopende vorderingen</t>
  </si>
  <si>
    <t xml:space="preserve">      700</t>
  </si>
  <si>
    <t>Langlopende Leningen u/g</t>
  </si>
  <si>
    <t>Vlottende activa</t>
  </si>
  <si>
    <t>Overlopende Activa</t>
  </si>
  <si>
    <t xml:space="preserve">     1350</t>
  </si>
  <si>
    <t>Nog te ontvangen inkomsten</t>
  </si>
  <si>
    <t>Liquide middelen</t>
  </si>
  <si>
    <t>Bank</t>
  </si>
  <si>
    <t xml:space="preserve">     1200</t>
  </si>
  <si>
    <t>Giro</t>
  </si>
  <si>
    <t>Passiva</t>
  </si>
  <si>
    <t>Vreemd vermogen lang</t>
  </si>
  <si>
    <t>Langlopende schulden</t>
  </si>
  <si>
    <t xml:space="preserve">     1400</t>
  </si>
  <si>
    <t>Langlopende Leningen o/g</t>
  </si>
  <si>
    <t>Vreemd vermogen kort</t>
  </si>
  <si>
    <t>Voorzieningen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</si>
  <si>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</si>
  <si>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</si>
  <si>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</si>
  <si>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</si>
  <si>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</si>
  <si>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</si>
  <si>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Totaal Balans</t>
  </si>
  <si>
    <t>Resultatenrekening</t>
  </si>
  <si>
    <t>Kosten</t>
  </si>
  <si>
    <t>Overige kosten</t>
  </si>
  <si>
    <t xml:space="preserve">     4201</t>
  </si>
  <si>
    <t>Huur kantoor</t>
  </si>
  <si>
    <t xml:space="preserve">     4220</t>
  </si>
  <si>
    <t>Overige kosten onroerend goed</t>
  </si>
  <si>
    <t>Stichtingskosten</t>
  </si>
  <si>
    <t>Bestuur</t>
  </si>
  <si>
    <t xml:space="preserve">     4000</t>
  </si>
  <si>
    <t>Bestuursvergoedingen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</si>
  <si>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</si>
  <si>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</si>
  <si>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</si>
  <si>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</si>
  <si>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</si>
  <si>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</si>
  <si>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</si>
  <si>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</si>
  <si>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>Opbrengsten</t>
  </si>
  <si>
    <t>Ontvangsten</t>
  </si>
  <si>
    <t>Ontvangen donaties</t>
  </si>
  <si>
    <t xml:space="preserve">     8000</t>
  </si>
  <si>
    <t>Ontvangen donaties Marie Schippers Fonds</t>
  </si>
  <si>
    <t>Ontvangen huur</t>
  </si>
  <si>
    <t xml:space="preserve">     8400</t>
  </si>
  <si>
    <t>Opbrengst huur</t>
  </si>
  <si>
    <t>Financiële resultaat</t>
  </si>
  <si>
    <t xml:space="preserve">     9400</t>
  </si>
  <si>
    <t>Rente opbrengsten</t>
  </si>
  <si>
    <t xml:space="preserve">     9500</t>
  </si>
  <si>
    <t>Rente kosten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</si>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</sst>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GridLines="0" tabSelected="1" zoomScaleNormal="100" workbookViewId="0">
      <pane xSplit="6" ySplit="12" topLeftCell="G58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42370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42735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42735</v>
      </c>
      <c r="I11" s="13" t="s">
        <v>38</v>
      </c>
      <c r="J11" s="14">
        <v>42369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42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43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44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45</v>
      </c>
      <c r="F17" s="19" t="s">
        <v>46</v>
      </c>
      <c r="G17" s="20">
        <f xml:space="preserve"> 551857.26/I9</f>
        <v>551857.26</v>
      </c>
      <c r="H17" s="20"/>
      <c r="I17" s="20">
        <f xml:space="preserve"> 551857.26/I9</f>
        <v>551857.26</v>
      </c>
      <c r="J17" s="20"/>
      <c r="K17" s="21">
        <f>IF(ROUND(N($I$17),3) - ROUND(N($J$17),3)=0,0,(N($G$17)-N($H$17)-N($I$17)+N($J$17))/(N($I$17)-N($J$17)))</f>
        <v>0</v>
      </c>
    </row>
    <row r="18" spans="1:11" outlineLevel="3" x14ac:dyDescent="0.25">
      <c r="A18" s="10"/>
      <c r="B18" s="10"/>
      <c r="C18" s="10"/>
      <c r="D18" s="22" t="str">
        <f>CONCATENATE("Totaal"," ",$D$16)</f>
        <v>Totaal Gebouwen en terreinen</v>
      </c>
      <c r="E18" s="10"/>
      <c r="F18" s="10"/>
      <c r="G18" s="23">
        <f>IF(SUBTOTAL(9,$G$17)&gt;=SUBTOTAL(9,$H$17),SUBTOTAL(9,$G$17)-SUBTOTAL(9,$H$17),"")</f>
        <v>551857.26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551857.26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2" x14ac:dyDescent="0.25">
      <c r="A20" s="10"/>
      <c r="B20" s="10"/>
      <c r="C20" s="22" t="str">
        <f>CONCATENATE("Totaal"," ",$C$15)</f>
        <v>Totaal Vaste activa</v>
      </c>
      <c r="D20" s="10"/>
      <c r="E20" s="10"/>
      <c r="F20" s="10"/>
      <c r="G20" s="23">
        <f>IF(SUBTOTAL(9,$G$16:$G$19)&gt;=SUBTOTAL(9,$H$16:$H$19),SUBTOTAL(9,$G$16:$G$19)-SUBTOTAL(9,$H$16:$H$19),"")</f>
        <v>551857.26</v>
      </c>
      <c r="H20" s="23" t="str">
        <f>IF(SUBTOTAL(9,$G$16:$G$19)&lt;SUBTOTAL(9,$H$16:$H$19),SUBTOTAL(9,$H$16:$H$19)-SUBTOTAL(9,$G$16:$G$19),"")</f>
        <v/>
      </c>
      <c r="I20" s="23">
        <f>IF(SUBTOTAL(9,$I$16:$I$19)&gt;=SUBTOTAL(9,$J$16:$J$19),SUBTOTAL(9,$I$16:$I$19)-SUBTOTAL(9,$J$16:$J$19),"")</f>
        <v>551857.26</v>
      </c>
      <c r="J20" s="23" t="str">
        <f>IF(SUBTOTAL(9,$I$16:$I$19)&lt;SUBTOTAL(9,$J$16:$J$19),SUBTOTAL(9,$J$16:$J$19)-SUBTOTAL(9,$I$16:$I$19),"")</f>
        <v/>
      </c>
      <c r="K20" s="24">
        <f>IF(ROUND(N($I$20),3) - ROUND(N($J$20),3)=0,0,(N($G$20)-N($H$20)-N($I$20)+N($J$20))/(N($I$20)-N($J$20)))</f>
        <v>0</v>
      </c>
    </row>
    <row r="21" spans="1:11" outlineLevel="2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outlineLevel="3" x14ac:dyDescent="0.25">
      <c r="A22" s="10"/>
      <c r="B22" s="10"/>
      <c r="C22" s="17" t="s">
        <v>47</v>
      </c>
      <c r="D22" s="10"/>
      <c r="E22" s="10"/>
      <c r="F22" s="10"/>
      <c r="G22" s="10"/>
      <c r="H22" s="10"/>
      <c r="I22" s="10"/>
      <c r="J22" s="10"/>
      <c r="K22" s="10"/>
    </row>
    <row r="23" spans="1:11" outlineLevel="4" x14ac:dyDescent="0.25">
      <c r="A23" s="10"/>
      <c r="B23" s="10"/>
      <c r="C23" s="10"/>
      <c r="D23" s="17" t="s">
        <v>48</v>
      </c>
      <c r="E23" s="10"/>
      <c r="F23" s="10"/>
      <c r="G23" s="10"/>
      <c r="H23" s="10"/>
      <c r="I23" s="10"/>
      <c r="J23" s="10"/>
      <c r="K23" s="10"/>
    </row>
    <row r="24" spans="1:11" outlineLevel="4" x14ac:dyDescent="0.25">
      <c r="A24" s="10"/>
      <c r="B24" s="10"/>
      <c r="C24" s="10"/>
      <c r="D24" s="10"/>
      <c r="E24" s="18" t="s">
        <v>49</v>
      </c>
      <c r="F24" s="19" t="s">
        <v>50</v>
      </c>
      <c r="G24" s="20">
        <f xml:space="preserve"> 664471.7/I9</f>
        <v>664471.69999999995</v>
      </c>
      <c r="H24" s="20"/>
      <c r="I24" s="20">
        <f xml:space="preserve"> 665655.55/I9</f>
        <v>665655.55000000005</v>
      </c>
      <c r="J24" s="20"/>
      <c r="K24" s="21">
        <f>IF(ROUND(N($I$24),3) - ROUND(N($J$24),3)=0,0,(N($G$24)-N($H$24)-N($I$24)+N($J$24))/(N($I$24)-N($J$24)))</f>
        <v>-1.7784723645736793E-3</v>
      </c>
    </row>
    <row r="25" spans="1:11" outlineLevel="3" x14ac:dyDescent="0.25">
      <c r="A25" s="10"/>
      <c r="B25" s="10"/>
      <c r="C25" s="10"/>
      <c r="D25" s="22" t="str">
        <f>CONCATENATE("Totaal"," ",$D$23)</f>
        <v>Totaal Langlopende vorderingen</v>
      </c>
      <c r="E25" s="10"/>
      <c r="F25" s="10"/>
      <c r="G25" s="23">
        <f>IF(SUBTOTAL(9,$G$24)&gt;=SUBTOTAL(9,$H$24),SUBTOTAL(9,$G$24)-SUBTOTAL(9,$H$24),"")</f>
        <v>664471.69999999995</v>
      </c>
      <c r="H25" s="23" t="str">
        <f>IF(SUBTOTAL(9,$G$24)&lt;SUBTOTAL(9,$H$24),SUBTOTAL(9,$H$24)-SUBTOTAL(9,$G$24),"")</f>
        <v/>
      </c>
      <c r="I25" s="23">
        <f>IF(SUBTOTAL(9,$I$24)&gt;=SUBTOTAL(9,$J$24),SUBTOTAL(9,$I$24)-SUBTOTAL(9,$J$24),"")</f>
        <v>665655.55000000005</v>
      </c>
      <c r="J25" s="23" t="str">
        <f>IF(SUBTOTAL(9,$I$24)&lt;SUBTOTAL(9,$J$24),SUBTOTAL(9,$J$24)-SUBTOTAL(9,$I$24),"")</f>
        <v/>
      </c>
      <c r="K25" s="24">
        <f>IF(ROUND(N($I$25),3) - ROUND(N($J$25),3)=0,0,(N($G$25)-N($H$25)-N($I$25)+N($J$25))/(N($I$25)-N($J$25)))</f>
        <v>-1.7784723645736793E-3</v>
      </c>
    </row>
    <row r="26" spans="1:11" outlineLevel="3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outlineLevel="2" x14ac:dyDescent="0.25">
      <c r="A27" s="10"/>
      <c r="B27" s="10"/>
      <c r="C27" s="22" t="str">
        <f>CONCATENATE("Totaal"," ",$C$22)</f>
        <v>Totaal Financiële vaste activa</v>
      </c>
      <c r="D27" s="10"/>
      <c r="E27" s="10"/>
      <c r="F27" s="10"/>
      <c r="G27" s="23">
        <f>IF(SUBTOTAL(9,$G$23:$G$26)&gt;=SUBTOTAL(9,$H$23:$H$26),SUBTOTAL(9,$G$23:$G$26)-SUBTOTAL(9,$H$23:$H$26),"")</f>
        <v>664471.69999999995</v>
      </c>
      <c r="H27" s="23" t="str">
        <f>IF(SUBTOTAL(9,$G$23:$G$26)&lt;SUBTOTAL(9,$H$23:$H$26),SUBTOTAL(9,$H$23:$H$26)-SUBTOTAL(9,$G$23:$G$26),"")</f>
        <v/>
      </c>
      <c r="I27" s="23">
        <f>IF(SUBTOTAL(9,$I$23:$I$26)&gt;=SUBTOTAL(9,$J$23:$J$26),SUBTOTAL(9,$I$23:$I$26)-SUBTOTAL(9,$J$23:$J$26),"")</f>
        <v>665655.55000000005</v>
      </c>
      <c r="J27" s="23" t="str">
        <f>IF(SUBTOTAL(9,$I$23:$I$26)&lt;SUBTOTAL(9,$J$23:$J$26),SUBTOTAL(9,$J$23:$J$26)-SUBTOTAL(9,$I$23:$I$26),"")</f>
        <v/>
      </c>
      <c r="K27" s="24">
        <f>IF(ROUND(N($I$27),3) - ROUND(N($J$27),3)=0,0,(N($G$27)-N($H$27)-N($I$27)+N($J$27))/(N($I$27)-N($J$27)))</f>
        <v>-1.7784723645736793E-3</v>
      </c>
    </row>
    <row r="28" spans="1:11" outlineLevel="2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</row>
    <row r="29" spans="1:11" outlineLevel="3" x14ac:dyDescent="0.25">
      <c r="A29" s="10"/>
      <c r="B29" s="10"/>
      <c r="C29" s="17" t="s">
        <v>51</v>
      </c>
      <c r="D29" s="10"/>
      <c r="E29" s="10"/>
      <c r="F29" s="10"/>
      <c r="G29" s="10"/>
      <c r="H29" s="10"/>
      <c r="I29" s="10"/>
      <c r="J29" s="10"/>
      <c r="K29" s="10"/>
    </row>
    <row r="30" spans="1:11" outlineLevel="4" x14ac:dyDescent="0.25">
      <c r="A30" s="10"/>
      <c r="B30" s="10"/>
      <c r="C30" s="10"/>
      <c r="D30" s="17" t="s">
        <v>52</v>
      </c>
      <c r="E30" s="10"/>
      <c r="F30" s="10"/>
      <c r="G30" s="10"/>
      <c r="H30" s="10"/>
      <c r="I30" s="10"/>
      <c r="J30" s="10"/>
      <c r="K30" s="10"/>
    </row>
    <row r="31" spans="1:11" outlineLevel="4" x14ac:dyDescent="0.25">
      <c r="A31" s="10"/>
      <c r="B31" s="10"/>
      <c r="C31" s="10"/>
      <c r="D31" s="10"/>
      <c r="E31" s="18" t="s">
        <v>53</v>
      </c>
      <c r="F31" s="19" t="s">
        <v>54</v>
      </c>
      <c r="G31" s="20">
        <f xml:space="preserve"> 4177.49/I9</f>
        <v>4177.49</v>
      </c>
      <c r="H31" s="20"/>
      <c r="I31" s="20">
        <f xml:space="preserve"> 5758.59/I9</f>
        <v>5758.59</v>
      </c>
      <c r="J31" s="20"/>
      <c r="K31" s="21">
        <f>IF(ROUND(N($I$31),3) - ROUND(N($J$31),3)=0,0,(N($G$31)-N($H$31)-N($I$31)+N($J$31))/(N($I$31)-N($J$31)))</f>
        <v>-0.27456373869297873</v>
      </c>
    </row>
    <row r="32" spans="1:11" outlineLevel="3" x14ac:dyDescent="0.25">
      <c r="A32" s="10"/>
      <c r="B32" s="10"/>
      <c r="C32" s="10"/>
      <c r="D32" s="22" t="str">
        <f>CONCATENATE("Totaal"," ",$D$30)</f>
        <v>Totaal Overlopende Activa</v>
      </c>
      <c r="E32" s="10"/>
      <c r="F32" s="10"/>
      <c r="G32" s="23">
        <f>IF(SUBTOTAL(9,$G$31)&gt;=SUBTOTAL(9,$H$31),SUBTOTAL(9,$G$31)-SUBTOTAL(9,$H$31),"")</f>
        <v>4177.49</v>
      </c>
      <c r="H32" s="23" t="str">
        <f>IF(SUBTOTAL(9,$G$31)&lt;SUBTOTAL(9,$H$31),SUBTOTAL(9,$H$31)-SUBTOTAL(9,$G$31),"")</f>
        <v/>
      </c>
      <c r="I32" s="23">
        <f>IF(SUBTOTAL(9,$I$31)&gt;=SUBTOTAL(9,$J$31),SUBTOTAL(9,$I$31)-SUBTOTAL(9,$J$31),"")</f>
        <v>5758.59</v>
      </c>
      <c r="J32" s="23" t="str">
        <f>IF(SUBTOTAL(9,$I$31)&lt;SUBTOTAL(9,$J$31),SUBTOTAL(9,$J$31)-SUBTOTAL(9,$I$31),"")</f>
        <v/>
      </c>
      <c r="K32" s="24">
        <f>IF(ROUND(N($I$32),3) - ROUND(N($J$32),3)=0,0,(N($G$32)-N($H$32)-N($I$32)+N($J$32))/(N($I$32)-N($J$32)))</f>
        <v>-0.27456373869297873</v>
      </c>
    </row>
    <row r="33" spans="1:11" outlineLevel="3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outlineLevel="2" x14ac:dyDescent="0.25">
      <c r="A34" s="10"/>
      <c r="B34" s="10"/>
      <c r="C34" s="22" t="str">
        <f>CONCATENATE("Totaal"," ",$C$29)</f>
        <v>Totaal Vlottende activa</v>
      </c>
      <c r="D34" s="10"/>
      <c r="E34" s="10"/>
      <c r="F34" s="10"/>
      <c r="G34" s="23">
        <f>IF(SUBTOTAL(9,$G$30:$G$33)&gt;=SUBTOTAL(9,$H$30:$H$33),SUBTOTAL(9,$G$30:$G$33)-SUBTOTAL(9,$H$30:$H$33),"")</f>
        <v>4177.49</v>
      </c>
      <c r="H34" s="23" t="str">
        <f>IF(SUBTOTAL(9,$G$30:$G$33)&lt;SUBTOTAL(9,$H$30:$H$33),SUBTOTAL(9,$H$30:$H$33)-SUBTOTAL(9,$G$30:$G$33),"")</f>
        <v/>
      </c>
      <c r="I34" s="23">
        <f>IF(SUBTOTAL(9,$I$30:$I$33)&gt;=SUBTOTAL(9,$J$30:$J$33),SUBTOTAL(9,$I$30:$I$33)-SUBTOTAL(9,$J$30:$J$33),"")</f>
        <v>5758.59</v>
      </c>
      <c r="J34" s="23" t="str">
        <f>IF(SUBTOTAL(9,$I$30:$I$33)&lt;SUBTOTAL(9,$J$30:$J$33),SUBTOTAL(9,$J$30:$J$33)-SUBTOTAL(9,$I$30:$I$33),"")</f>
        <v/>
      </c>
      <c r="K34" s="24">
        <f>IF(ROUND(N($I$34),3) - ROUND(N($J$34),3)=0,0,(N($G$34)-N($H$34)-N($I$34)+N($J$34))/(N($I$34)-N($J$34)))</f>
        <v>-0.27456373869297873</v>
      </c>
    </row>
    <row r="35" spans="1:11" outlineLevel="2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3" x14ac:dyDescent="0.25">
      <c r="A36" s="10"/>
      <c r="B36" s="10"/>
      <c r="C36" s="17" t="s">
        <v>55</v>
      </c>
      <c r="D36" s="10"/>
      <c r="E36" s="10"/>
      <c r="F36" s="10"/>
      <c r="G36" s="10"/>
      <c r="H36" s="10"/>
      <c r="I36" s="10"/>
      <c r="J36" s="10"/>
      <c r="K36" s="10"/>
    </row>
    <row r="37" spans="1:11" outlineLevel="4" x14ac:dyDescent="0.25">
      <c r="A37" s="10"/>
      <c r="B37" s="10"/>
      <c r="C37" s="10"/>
      <c r="D37" s="17" t="s">
        <v>56</v>
      </c>
      <c r="E37" s="10"/>
      <c r="F37" s="10"/>
      <c r="G37" s="10"/>
      <c r="H37" s="10"/>
      <c r="I37" s="10"/>
      <c r="J37" s="10"/>
      <c r="K37" s="10"/>
    </row>
    <row r="38" spans="1:11" outlineLevel="4" x14ac:dyDescent="0.25">
      <c r="A38" s="10"/>
      <c r="B38" s="10"/>
      <c r="C38" s="10"/>
      <c r="D38" s="10"/>
      <c r="E38" s="18" t="s">
        <v>57</v>
      </c>
      <c r="F38" s="19" t="s">
        <v>58</v>
      </c>
      <c r="G38" s="20">
        <f xml:space="preserve"> 3964.79999999991/I9</f>
        <v>3964.7999999999101</v>
      </c>
      <c r="H38" s="20"/>
      <c r="I38" s="20">
        <f xml:space="preserve"> 1380.35999999992/I9</f>
        <v>1380.3599999999201</v>
      </c>
      <c r="J38" s="20"/>
      <c r="K38" s="21">
        <f>IF(ROUND(N($I$38),3) - ROUND(N($J$38),3)=0,0,(N($G$38)-N($H$38)-N($I$38)+N($J$38))/(N($I$38)-N($J$38)))</f>
        <v>1.8722941841259815</v>
      </c>
    </row>
    <row r="39" spans="1:11" outlineLevel="3" x14ac:dyDescent="0.25">
      <c r="A39" s="10"/>
      <c r="B39" s="10"/>
      <c r="C39" s="10"/>
      <c r="D39" s="22" t="str">
        <f>CONCATENATE("Totaal"," ",$D$37)</f>
        <v>Totaal Bank</v>
      </c>
      <c r="E39" s="10"/>
      <c r="F39" s="10"/>
      <c r="G39" s="23">
        <f>IF(SUBTOTAL(9,$G$38)&gt;=SUBTOTAL(9,$H$38),SUBTOTAL(9,$G$38)-SUBTOTAL(9,$H$38),"")</f>
        <v>3964.7999999999101</v>
      </c>
      <c r="H39" s="23" t="str">
        <f>IF(SUBTOTAL(9,$G$38)&lt;SUBTOTAL(9,$H$38),SUBTOTAL(9,$H$38)-SUBTOTAL(9,$G$38),"")</f>
        <v/>
      </c>
      <c r="I39" s="23">
        <f>IF(SUBTOTAL(9,$I$38)&gt;=SUBTOTAL(9,$J$38),SUBTOTAL(9,$I$38)-SUBTOTAL(9,$J$38),"")</f>
        <v>1380.3599999999201</v>
      </c>
      <c r="J39" s="23" t="str">
        <f>IF(SUBTOTAL(9,$I$38)&lt;SUBTOTAL(9,$J$38),SUBTOTAL(9,$J$38)-SUBTOTAL(9,$I$38),"")</f>
        <v/>
      </c>
      <c r="K39" s="24">
        <f>IF(ROUND(N($I$39),3) - ROUND(N($J$39),3)=0,0,(N($G$39)-N($H$39)-N($I$39)+N($J$39))/(N($I$39)-N($J$39)))</f>
        <v>1.8722941841259815</v>
      </c>
    </row>
    <row r="40" spans="1:11" outlineLevel="3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outlineLevel="2" x14ac:dyDescent="0.25">
      <c r="A41" s="10"/>
      <c r="B41" s="10"/>
      <c r="C41" s="22" t="str">
        <f>CONCATENATE("Totaal"," ",$C$36)</f>
        <v>Totaal Liquide middelen</v>
      </c>
      <c r="D41" s="10"/>
      <c r="E41" s="10"/>
      <c r="F41" s="10"/>
      <c r="G41" s="23">
        <f>IF(SUBTOTAL(9,$G$37:$G$40)&gt;=SUBTOTAL(9,$H$37:$H$40),SUBTOTAL(9,$G$37:$G$40)-SUBTOTAL(9,$H$37:$H$40),"")</f>
        <v>3964.7999999999101</v>
      </c>
      <c r="H41" s="23" t="str">
        <f>IF(SUBTOTAL(9,$G$37:$G$40)&lt;SUBTOTAL(9,$H$37:$H$40),SUBTOTAL(9,$H$37:$H$40)-SUBTOTAL(9,$G$37:$G$40),"")</f>
        <v/>
      </c>
      <c r="I41" s="23">
        <f>IF(SUBTOTAL(9,$I$37:$I$40)&gt;=SUBTOTAL(9,$J$37:$J$40),SUBTOTAL(9,$I$37:$I$40)-SUBTOTAL(9,$J$37:$J$40),"")</f>
        <v>1380.3599999999201</v>
      </c>
      <c r="J41" s="23" t="str">
        <f>IF(SUBTOTAL(9,$I$37:$I$40)&lt;SUBTOTAL(9,$J$37:$J$40),SUBTOTAL(9,$J$37:$J$40)-SUBTOTAL(9,$I$37:$I$40),"")</f>
        <v/>
      </c>
      <c r="K41" s="24">
        <f>IF(ROUND(N($I$41),3) - ROUND(N($J$41),3)=0,0,(N($G$41)-N($H$41)-N($I$41)+N($J$41))/(N($I$41)-N($J$41)))</f>
        <v>1.8722941841259815</v>
      </c>
    </row>
    <row r="42" spans="1:11" outlineLevel="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outlineLevel="1" x14ac:dyDescent="0.25">
      <c r="A43" s="10"/>
      <c r="B43" s="22" t="str">
        <f>CONCATENATE("Totaal"," ",$B$14)</f>
        <v>Totaal Activa</v>
      </c>
      <c r="C43" s="10"/>
      <c r="D43" s="10"/>
      <c r="E43" s="10"/>
      <c r="F43" s="10"/>
      <c r="G43" s="23">
        <f>IF(SUBTOTAL(9,$G$15:$G$42)&gt;=SUBTOTAL(9,$H$15:$H$42),SUBTOTAL(9,$G$15:$G$42)-SUBTOTAL(9,$H$15:$H$42),"")</f>
        <v>1224471.2499999998</v>
      </c>
      <c r="H43" s="23" t="str">
        <f>IF(SUBTOTAL(9,$G$15:$G$42)&lt;SUBTOTAL(9,$H$15:$H$42),SUBTOTAL(9,$H$15:$H$42)-SUBTOTAL(9,$G$15:$G$42),"")</f>
        <v/>
      </c>
      <c r="I43" s="23">
        <f>IF(SUBTOTAL(9,$I$15:$I$42)&gt;=SUBTOTAL(9,$J$15:$J$42),SUBTOTAL(9,$I$15:$I$42)-SUBTOTAL(9,$J$15:$J$42),"")</f>
        <v>1224651.76</v>
      </c>
      <c r="J43" s="23" t="str">
        <f>IF(SUBTOTAL(9,$I$15:$I$42)&lt;SUBTOTAL(9,$J$15:$J$42),SUBTOTAL(9,$J$15:$J$42)-SUBTOTAL(9,$I$15:$I$42),"")</f>
        <v/>
      </c>
      <c r="K43" s="24">
        <f>IF(ROUND(N($I$43),3) - ROUND(N($J$43),3)=0,0,(N($G$43)-N($H$43)-N($I$43)+N($J$43))/(N($I$43)-N($J$43)))</f>
        <v>-1.4739700370025366E-4</v>
      </c>
    </row>
    <row r="44" spans="1:11" outlineLevel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outlineLevel="2" x14ac:dyDescent="0.25">
      <c r="A45" s="10"/>
      <c r="B45" s="17" t="s">
        <v>59</v>
      </c>
      <c r="C45" s="10"/>
      <c r="D45" s="10"/>
      <c r="E45" s="10"/>
      <c r="F45" s="10"/>
      <c r="G45" s="10"/>
      <c r="H45" s="10"/>
      <c r="I45" s="10"/>
      <c r="J45" s="10"/>
      <c r="K45" s="10"/>
    </row>
    <row r="46" spans="1:11" outlineLevel="3" x14ac:dyDescent="0.25">
      <c r="A46" s="10"/>
      <c r="B46" s="10"/>
      <c r="C46" s="17" t="s">
        <v>60</v>
      </c>
      <c r="D46" s="10"/>
      <c r="E46" s="10"/>
      <c r="F46" s="10"/>
      <c r="G46" s="10"/>
      <c r="H46" s="10"/>
      <c r="I46" s="10"/>
      <c r="J46" s="10"/>
      <c r="K46" s="10"/>
    </row>
    <row r="47" spans="1:11" outlineLevel="4" x14ac:dyDescent="0.25">
      <c r="A47" s="10"/>
      <c r="B47" s="10"/>
      <c r="C47" s="10"/>
      <c r="D47" s="17" t="s">
        <v>61</v>
      </c>
      <c r="E47" s="10"/>
      <c r="F47" s="10"/>
      <c r="G47" s="10"/>
      <c r="H47" s="10"/>
      <c r="I47" s="10"/>
      <c r="J47" s="10"/>
      <c r="K47" s="10"/>
    </row>
    <row r="48" spans="1:11" outlineLevel="4" x14ac:dyDescent="0.25">
      <c r="A48" s="10"/>
      <c r="B48" s="10"/>
      <c r="C48" s="10"/>
      <c r="D48" s="10"/>
      <c r="E48" s="18" t="s">
        <v>62</v>
      </c>
      <c r="F48" s="19" t="s">
        <v>63</v>
      </c>
      <c r="G48" s="20"/>
      <c r="H48" s="20">
        <f xml:space="preserve"> 317690.21/I9</f>
        <v>317690.21000000002</v>
      </c>
      <c r="I48" s="20"/>
      <c r="J48" s="20">
        <f xml:space="preserve"> 323837.95/I9</f>
        <v>323837.95</v>
      </c>
      <c r="K48" s="21">
        <f>IF(ROUND(N($I$48),3) - ROUND(N($J$48),3)=0,0,(N($G$48)-N($H$48)-N($I$48)+N($J$48))/(N($I$48)-N($J$48)))</f>
        <v>-1.8984001103020787E-2</v>
      </c>
    </row>
    <row r="49" spans="1:11" outlineLevel="3" x14ac:dyDescent="0.25">
      <c r="A49" s="10"/>
      <c r="B49" s="10"/>
      <c r="C49" s="10"/>
      <c r="D49" s="22" t="str">
        <f>CONCATENATE("Totaal"," ",$D$47)</f>
        <v>Totaal Langlopende schulden</v>
      </c>
      <c r="E49" s="10"/>
      <c r="F49" s="10"/>
      <c r="G49" s="23" t="str">
        <f>IF(SUBTOTAL(9,$G$48)&gt;=SUBTOTAL(9,$H$48),SUBTOTAL(9,$G$48)-SUBTOTAL(9,$H$48),"")</f>
        <v/>
      </c>
      <c r="H49" s="23">
        <f>IF(SUBTOTAL(9,$G$48)&lt;SUBTOTAL(9,$H$48),SUBTOTAL(9,$H$48)-SUBTOTAL(9,$G$48),"")</f>
        <v>317690.21000000002</v>
      </c>
      <c r="I49" s="23" t="str">
        <f>IF(SUBTOTAL(9,$I$48)&gt;=SUBTOTAL(9,$J$48),SUBTOTAL(9,$I$48)-SUBTOTAL(9,$J$48),"")</f>
        <v/>
      </c>
      <c r="J49" s="23">
        <f>IF(SUBTOTAL(9,$I$48)&lt;SUBTOTAL(9,$J$48),SUBTOTAL(9,$J$48)-SUBTOTAL(9,$I$48),"")</f>
        <v>323837.95</v>
      </c>
      <c r="K49" s="24">
        <f>IF(ROUND(N($I$49),3) - ROUND(N($J$49),3)=0,0,(N($G$49)-N($H$49)-N($I$49)+N($J$49))/(N($I$49)-N($J$49)))</f>
        <v>-1.8984001103020787E-2</v>
      </c>
    </row>
    <row r="50" spans="1:11" outlineLevel="3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outlineLevel="2" x14ac:dyDescent="0.25">
      <c r="A51" s="10"/>
      <c r="B51" s="10"/>
      <c r="C51" s="22" t="str">
        <f>CONCATENATE("Totaal"," ",$C$46)</f>
        <v>Totaal Vreemd vermogen lang</v>
      </c>
      <c r="D51" s="10"/>
      <c r="E51" s="10"/>
      <c r="F51" s="10"/>
      <c r="G51" s="23" t="str">
        <f>IF(SUBTOTAL(9,$G$47:$G$50)&gt;=SUBTOTAL(9,$H$47:$H$50),SUBTOTAL(9,$G$47:$G$50)-SUBTOTAL(9,$H$47:$H$50),"")</f>
        <v/>
      </c>
      <c r="H51" s="23">
        <f>IF(SUBTOTAL(9,$G$47:$G$50)&lt;SUBTOTAL(9,$H$47:$H$50),SUBTOTAL(9,$H$47:$H$50)-SUBTOTAL(9,$G$47:$G$50),"")</f>
        <v>317690.21000000002</v>
      </c>
      <c r="I51" s="23" t="str">
        <f>IF(SUBTOTAL(9,$I$47:$I$50)&gt;=SUBTOTAL(9,$J$47:$J$50),SUBTOTAL(9,$I$47:$I$50)-SUBTOTAL(9,$J$47:$J$50),"")</f>
        <v/>
      </c>
      <c r="J51" s="23">
        <f>IF(SUBTOTAL(9,$I$47:$I$50)&lt;SUBTOTAL(9,$J$47:$J$50),SUBTOTAL(9,$J$47:$J$50)-SUBTOTAL(9,$I$47:$I$50),"")</f>
        <v>323837.95</v>
      </c>
      <c r="K51" s="24">
        <f>IF(ROUND(N($I$51),3) - ROUND(N($J$51),3)=0,0,(N($G$51)-N($H$51)-N($I$51)+N($J$51))/(N($I$51)-N($J$51)))</f>
        <v>-1.8984001103020787E-2</v>
      </c>
    </row>
    <row r="52" spans="1:11" outlineLevel="2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outlineLevel="3" x14ac:dyDescent="0.25">
      <c r="A53" s="10"/>
      <c r="B53" s="10"/>
      <c r="C53" s="17" t="s">
        <v>64</v>
      </c>
      <c r="D53" s="10"/>
      <c r="E53" s="10"/>
      <c r="F53" s="10"/>
      <c r="G53" s="10"/>
      <c r="H53" s="10"/>
      <c r="I53" s="10"/>
      <c r="J53" s="10"/>
      <c r="K53" s="10"/>
    </row>
    <row r="54" spans="1:11" outlineLevel="4" x14ac:dyDescent="0.25">
      <c r="A54" s="10"/>
      <c r="B54" s="10"/>
      <c r="C54" s="10"/>
      <c r="D54" s="17" t="s">
        <v>65</v>
      </c>
      <c r="E54" s="10"/>
      <c r="F54" s="10"/>
      <c r="G54" s="10"/>
      <c r="H54" s="10"/>
      <c r="I54" s="10"/>
      <c r="J54" s="10"/>
      <c r="K54" s="10"/>
    </row>
    <row r="55" spans="1:11" outlineLevel="4" x14ac:dyDescent="0.25">
      <c r="A55" s="10"/>
      <c r="B55" s="10"/>
      <c r="C55" s="10"/>
      <c r="D55" s="10"/>
      <c r="E55" s="18" t="s">
        <v>66</v>
      </c>
      <c r="F55" s="19" t="s">
        <v>67</v>
      </c>
      <c r="G55" s="20"/>
      <c r="H55" s="20">
        <f xml:space="preserve"> 2525.34/I9</f>
        <v>2525.34</v>
      </c>
      <c r="I55" s="20"/>
      <c r="J55" s="20">
        <f xml:space="preserve"> 2674.8/I9</f>
        <v>2674.8</v>
      </c>
      <c r="K55" s="21">
        <f>IF(ROUND(N($I$55),3) - ROUND(N($J$55),3)=0,0,(N($G$55)-N($H$55)-N($I$55)+N($J$55))/(N($I$55)-N($J$55)))</f>
        <v>-5.5877074921489467E-2</v>
      </c>
    </row>
    <row r="56" spans="1:11" outlineLevel="3" x14ac:dyDescent="0.25">
      <c r="A56" s="10"/>
      <c r="B56" s="10"/>
      <c r="C56" s="10"/>
      <c r="D56" s="22" t="str">
        <f>CONCATENATE("Totaal"," ",$D$54)</f>
        <v>Totaal Voorzieningen</v>
      </c>
      <c r="E56" s="10"/>
      <c r="F56" s="10"/>
      <c r="G56" s="23" t="str">
        <f>IF(SUBTOTAL(9,$G$55)&gt;=SUBTOTAL(9,$H$55),SUBTOTAL(9,$G$55)-SUBTOTAL(9,$H$55),"")</f>
        <v/>
      </c>
      <c r="H56" s="23">
        <f>IF(SUBTOTAL(9,$G$55)&lt;SUBTOTAL(9,$H$55),SUBTOTAL(9,$H$55)-SUBTOTAL(9,$G$55),"")</f>
        <v>2525.34</v>
      </c>
      <c r="I56" s="23" t="str">
        <f>IF(SUBTOTAL(9,$I$55)&gt;=SUBTOTAL(9,$J$55),SUBTOTAL(9,$I$55)-SUBTOTAL(9,$J$55),"")</f>
        <v/>
      </c>
      <c r="J56" s="23">
        <f>IF(SUBTOTAL(9,$I$55)&lt;SUBTOTAL(9,$J$55),SUBTOTAL(9,$J$55)-SUBTOTAL(9,$I$55),"")</f>
        <v>2674.8</v>
      </c>
      <c r="K56" s="24">
        <f>IF(ROUND(N($I$56),3) - ROUND(N($J$56),3)=0,0,(N($G$56)-N($H$56)-N($I$56)+N($J$56))/(N($I$56)-N($J$56)))</f>
        <v>-5.5877074921489467E-2</v>
      </c>
    </row>
    <row r="57" spans="1:11" outlineLevel="3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</row>
    <row r="58" spans="1:11" outlineLevel="2" x14ac:dyDescent="0.25">
      <c r="A58" s="10"/>
      <c r="B58" s="10"/>
      <c r="C58" s="22" t="str">
        <f>CONCATENATE("Totaal"," ",$C$53)</f>
        <v>Totaal Vreemd vermogen kort</v>
      </c>
      <c r="D58" s="10"/>
      <c r="E58" s="10"/>
      <c r="F58" s="10"/>
      <c r="G58" s="23" t="str">
        <f>IF(SUBTOTAL(9,$G$54:$G$57)&gt;=SUBTOTAL(9,$H$54:$H$57),SUBTOTAL(9,$G$54:$G$57)-SUBTOTAL(9,$H$54:$H$57),"")</f>
        <v/>
      </c>
      <c r="H58" s="23">
        <f>IF(SUBTOTAL(9,$G$54:$G$57)&lt;SUBTOTAL(9,$H$54:$H$57),SUBTOTAL(9,$H$54:$H$57)-SUBTOTAL(9,$G$54:$G$57),"")</f>
        <v>2525.34</v>
      </c>
      <c r="I58" s="23" t="str">
        <f>IF(SUBTOTAL(9,$I$54:$I$57)&gt;=SUBTOTAL(9,$J$54:$J$57),SUBTOTAL(9,$I$54:$I$57)-SUBTOTAL(9,$J$54:$J$57),"")</f>
        <v/>
      </c>
      <c r="J58" s="23">
        <f>IF(SUBTOTAL(9,$I$54:$I$57)&lt;SUBTOTAL(9,$J$54:$J$57),SUBTOTAL(9,$J$54:$J$57)-SUBTOTAL(9,$I$54:$I$57),"")</f>
        <v>2674.8</v>
      </c>
      <c r="K58" s="24">
        <f>IF(ROUND(N($I$58),3) - ROUND(N($J$58),3)=0,0,(N($G$58)-N($H$58)-N($I$58)+N($J$58))/(N($I$58)-N($J$58)))</f>
        <v>-5.5877074921489467E-2</v>
      </c>
    </row>
    <row r="59" spans="1:11" outlineLevel="2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</row>
    <row r="60" spans="1:11" outlineLevel="3" x14ac:dyDescent="0.25">
      <c r="A60" s="10"/>
      <c r="B60" s="10"/>
      <c r="C60" s="17" t="s">
        <v>68</v>
      </c>
      <c r="D60" s="10"/>
      <c r="E60" s="10"/>
      <c r="F60" s="10"/>
      <c r="G60" s="10"/>
      <c r="H60" s="10"/>
      <c r="I60" s="10"/>
      <c r="J60" s="10"/>
      <c r="K60" s="10"/>
    </row>
    <row r="61" spans="1:11" outlineLevel="4" x14ac:dyDescent="0.25">
      <c r="A61" s="10"/>
      <c r="B61" s="10"/>
      <c r="C61" s="10"/>
      <c r="D61" s="17" t="s">
        <v>69</v>
      </c>
      <c r="E61" s="10"/>
      <c r="F61" s="10"/>
      <c r="G61" s="10"/>
      <c r="H61" s="10"/>
      <c r="I61" s="10"/>
      <c r="J61" s="10"/>
      <c r="K61" s="10"/>
    </row>
    <row r="62" spans="1:11" outlineLevel="4" x14ac:dyDescent="0.25">
      <c r="A62" s="10"/>
      <c r="B62" s="10"/>
      <c r="C62" s="10"/>
      <c r="D62" s="10"/>
      <c r="E62" s="18" t="s">
        <v>70</v>
      </c>
      <c r="F62" s="19" t="s">
        <v>71</v>
      </c>
      <c r="G62" s="20"/>
      <c r="H62" s="20">
        <f xml:space="preserve"> 898139.01/I9</f>
        <v>898139.01</v>
      </c>
      <c r="I62" s="20"/>
      <c r="J62" s="20">
        <f xml:space="preserve"> 896016.14/I9</f>
        <v>896016.14</v>
      </c>
      <c r="K62" s="21">
        <f>IF(ROUND(N($I$62),3) - ROUND(N($J$62),3)=0,0,(N($G$62)-N($H$62)-N($I$62)+N($J$62))/(N($I$62)-N($J$62)))</f>
        <v>2.3692318756668774E-3</v>
      </c>
    </row>
    <row r="63" spans="1:11" outlineLevel="3" x14ac:dyDescent="0.25">
      <c r="A63" s="10"/>
      <c r="B63" s="10"/>
      <c r="C63" s="10"/>
      <c r="D63" s="22" t="str">
        <f>CONCATENATE("Totaal"," ",$D$61)</f>
        <v>Totaal Winst en Verliesrekening</v>
      </c>
      <c r="E63" s="10"/>
      <c r="F63" s="10"/>
      <c r="G63" s="23" t="str">
        <f>IF(SUBTOTAL(9,$G$62)&gt;=SUBTOTAL(9,$H$62),SUBTOTAL(9,$G$62)-SUBTOTAL(9,$H$62),"")</f>
        <v/>
      </c>
      <c r="H63" s="23">
        <f>IF(SUBTOTAL(9,$G$62)&lt;SUBTOTAL(9,$H$62),SUBTOTAL(9,$H$62)-SUBTOTAL(9,$G$62),"")</f>
        <v>898139.01</v>
      </c>
      <c r="I63" s="23" t="str">
        <f>IF(SUBTOTAL(9,$I$62)&gt;=SUBTOTAL(9,$J$62),SUBTOTAL(9,$I$62)-SUBTOTAL(9,$J$62),"")</f>
        <v/>
      </c>
      <c r="J63" s="23">
        <f>IF(SUBTOTAL(9,$I$62)&lt;SUBTOTAL(9,$J$62),SUBTOTAL(9,$J$62)-SUBTOTAL(9,$I$62),"")</f>
        <v>896016.14</v>
      </c>
      <c r="K63" s="24">
        <f>IF(ROUND(N($I$63),3) - ROUND(N($J$63),3)=0,0,(N($G$63)-N($H$63)-N($I$63)+N($J$63))/(N($I$63)-N($J$63)))</f>
        <v>2.3692318756668774E-3</v>
      </c>
    </row>
    <row r="64" spans="1:11" outlineLevel="3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</row>
    <row r="65" spans="1:11" outlineLevel="2" x14ac:dyDescent="0.25">
      <c r="A65" s="10"/>
      <c r="B65" s="10"/>
      <c r="C65" s="22" t="str">
        <f>CONCATENATE("Totaal"," ",$C$60)</f>
        <v>Totaal Eigen vermogen</v>
      </c>
      <c r="D65" s="10"/>
      <c r="E65" s="10"/>
      <c r="F65" s="10"/>
      <c r="G65" s="23" t="str">
        <f>IF(SUBTOTAL(9,$G$61:$G$64)&gt;=SUBTOTAL(9,$H$61:$H$64),SUBTOTAL(9,$G$61:$G$64)-SUBTOTAL(9,$H$61:$H$64),"")</f>
        <v/>
      </c>
      <c r="H65" s="23">
        <f>IF(SUBTOTAL(9,$G$61:$G$64)&lt;SUBTOTAL(9,$H$61:$H$64),SUBTOTAL(9,$H$61:$H$64)-SUBTOTAL(9,$G$61:$G$64),"")</f>
        <v>898139.01</v>
      </c>
      <c r="I65" s="23" t="str">
        <f>IF(SUBTOTAL(9,$I$61:$I$64)&gt;=SUBTOTAL(9,$J$61:$J$64),SUBTOTAL(9,$I$61:$I$64)-SUBTOTAL(9,$J$61:$J$64),"")</f>
        <v/>
      </c>
      <c r="J65" s="23">
        <f>IF(SUBTOTAL(9,$I$61:$I$64)&lt;SUBTOTAL(9,$J$61:$J$64),SUBTOTAL(9,$J$61:$J$64)-SUBTOTAL(9,$I$61:$I$64),"")</f>
        <v>896016.14</v>
      </c>
      <c r="K65" s="24">
        <f>IF(ROUND(N($I$65),3) - ROUND(N($J$65),3)=0,0,(N($G$65)-N($H$65)-N($I$65)+N($J$65))/(N($I$65)-N($J$65)))</f>
        <v>2.3692318756668774E-3</v>
      </c>
    </row>
    <row r="66" spans="1:11" outlineLevel="2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</row>
    <row r="67" spans="1:11" outlineLevel="1" x14ac:dyDescent="0.25">
      <c r="A67" s="10"/>
      <c r="B67" s="22" t="str">
        <f>CONCATENATE("Totaal"," ",$B$45)</f>
        <v>Totaal Passiva</v>
      </c>
      <c r="C67" s="10"/>
      <c r="D67" s="10"/>
      <c r="E67" s="10"/>
      <c r="F67" s="10"/>
      <c r="G67" s="23" t="str">
        <f>IF(SUBTOTAL(9,$G$46:$G$66)&gt;=SUBTOTAL(9,$H$46:$H$66),SUBTOTAL(9,$G$46:$G$66)-SUBTOTAL(9,$H$46:$H$66),"")</f>
        <v/>
      </c>
      <c r="H67" s="23">
        <f>IF(SUBTOTAL(9,$G$46:$G$66)&lt;SUBTOTAL(9,$H$46:$H$66),SUBTOTAL(9,$H$46:$H$66)-SUBTOTAL(9,$G$46:$G$66),"")</f>
        <v>1218354.56</v>
      </c>
      <c r="I67" s="23" t="str">
        <f>IF(SUBTOTAL(9,$I$46:$I$66)&gt;=SUBTOTAL(9,$J$46:$J$66),SUBTOTAL(9,$I$46:$I$66)-SUBTOTAL(9,$J$46:$J$66),"")</f>
        <v/>
      </c>
      <c r="J67" s="23">
        <f>IF(SUBTOTAL(9,$I$46:$I$66)&lt;SUBTOTAL(9,$J$46:$J$66),SUBTOTAL(9,$J$46:$J$66)-SUBTOTAL(9,$I$46:$I$66),"")</f>
        <v>1222528.8900000001</v>
      </c>
      <c r="K67" s="24">
        <f>IF(ROUND(N($I$67),3) - ROUND(N($J$67),3)=0,0,(N($G$67)-N($H$67)-N($I$67)+N($J$67))/(N($I$67)-N($J$67)))</f>
        <v>-3.4145041758482076E-3</v>
      </c>
    </row>
    <row r="68" spans="1:11" outlineLevel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</row>
    <row r="69" spans="1:11" x14ac:dyDescent="0.25">
      <c r="A69" s="22" t="str">
        <f>CONCATENATE("Totaal"," ",$A$13)</f>
        <v>Totaal Balans</v>
      </c>
      <c r="B69" s="10"/>
      <c r="C69" s="10"/>
      <c r="D69" s="10"/>
      <c r="E69" s="10"/>
      <c r="F69" s="10"/>
      <c r="G69" s="23">
        <f>IF(SUBTOTAL(9,$G$14:$G$68)&gt;=SUBTOTAL(9,$H$14:$H$68),SUBTOTAL(9,$G$14:$G$68)-SUBTOTAL(9,$H$14:$H$68),"")</f>
        <v>6116.6899999997113</v>
      </c>
      <c r="H69" s="23" t="str">
        <f>IF(SUBTOTAL(9,$G$14:$G$68)&lt;SUBTOTAL(9,$H$14:$H$68),SUBTOTAL(9,$H$14:$H$68)-SUBTOTAL(9,$G$14:$G$68),"")</f>
        <v/>
      </c>
      <c r="I69" s="23">
        <f>IF(SUBTOTAL(9,$I$14:$I$68)&gt;=SUBTOTAL(9,$J$14:$J$68),SUBTOTAL(9,$I$14:$I$68)-SUBTOTAL(9,$J$14:$J$68),"")</f>
        <v>2122.8699999998789</v>
      </c>
      <c r="J69" s="23" t="str">
        <f>IF(SUBTOTAL(9,$I$14:$I$68)&lt;SUBTOTAL(9,$J$14:$J$68),SUBTOTAL(9,$J$14:$J$68)-SUBTOTAL(9,$I$14:$I$68),"")</f>
        <v/>
      </c>
      <c r="K69" s="24">
        <f>IF(ROUND(N($I$69),3) - ROUND(N($J$69),3)=0,0,(N($G$69)-N($H$69)-N($I$69)+N($J$69))/(N($I$69)-N($J$69)))</f>
        <v>1.8813304630052996</v>
      </c>
    </row>
    <row r="70" spans="1:1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</row>
    <row r="71" spans="1:11" x14ac:dyDescent="0.25">
      <c r="A71" s="22" t="str">
        <f>IF(SUBTOTAL(9,$G$13:$G$70)&gt;SUBTOTAL(9,$H$13:$H$70),"Winstsaldo","Saldoverlies")</f>
        <v>Winstsaldo</v>
      </c>
      <c r="B71" s="10"/>
      <c r="C71" s="10"/>
      <c r="D71" s="10"/>
      <c r="E71" s="10"/>
      <c r="F71" s="10"/>
      <c r="G71" s="23" t="str">
        <f>IF(SUBTOTAL(9,$G$13:$G$70)&lt;=SUBTOTAL(9,$H$13:$H$70),SUBTOTAL(9,$H$13:$H$70)-SUBTOTAL(9,$G$13:$G$70),"")</f>
        <v/>
      </c>
      <c r="H71" s="23">
        <f>IF(SUBTOTAL(9,$G$13:$G$70)&gt;SUBTOTAL(9,$H$13:$H$70),SUBTOTAL(9,$G$13:$G$70)-SUBTOTAL(9,$H$13:$H$70),"")</f>
        <v>6116.6899999997113</v>
      </c>
      <c r="I71" s="23" t="str">
        <f>IF(SUBTOTAL(9,$I$13:$I$70)&lt;=SUBTOTAL(9,$J$13:$J$70),SUBTOTAL(9,$J$13:$J$70)-SUBTOTAL(9,$I$13:$I$70),"")</f>
        <v/>
      </c>
      <c r="J71" s="23">
        <f>IF(SUBTOTAL(9,$I$13:$I$70)&gt;SUBTOTAL(9,$J$13:$J$70),SUBTOTAL(9,$I$13:$I$70)-SUBTOTAL(9,$J$13:$J$70),"")</f>
        <v>2122.8699999998789</v>
      </c>
      <c r="K71" s="24">
        <f>IF(ROUND(N($I$71),3) - ROUND(N($J$71),3)=0,0,(N($G$71)-N($H$71)-N($I$71)+N($J$71))/(N($I$71)-N($J$71)))</f>
        <v>1.8813304630052996</v>
      </c>
    </row>
    <row r="72" spans="1:11" x14ac:dyDescent="0.2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x14ac:dyDescent="0.25">
      <c r="A73" s="25" t="s">
        <v>72</v>
      </c>
      <c r="B73" s="26"/>
      <c r="C73" s="26"/>
      <c r="D73" s="26"/>
      <c r="E73" s="26"/>
      <c r="F73" s="26"/>
      <c r="G73" s="27">
        <f>SUM($G$69,$G$71)</f>
        <v>6116.6899999997113</v>
      </c>
      <c r="H73" s="27">
        <f>SUM($H$69,$H$71)</f>
        <v>6116.6899999997113</v>
      </c>
      <c r="I73" s="27">
        <f>SUM($I$69,$I$71)</f>
        <v>2122.8699999998789</v>
      </c>
      <c r="J73" s="27">
        <f>SUM($J$69,$J$71)</f>
        <v>2122.8699999998789</v>
      </c>
      <c r="K73" s="28"/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&amp;LBalans - Bj 2016, 004 Stichting Co Schippers Fonds&amp;R4-9-2017 13:40:59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3"/>
  <sheetViews>
    <sheetView showGridLines="0" zoomScaleNormal="100" workbookViewId="0">
      <pane xSplit="6" ySplit="12" topLeftCell="G13" activePane="bottomRight" state="frozen"/>
      <selection pane="topRight" activeCell="G1" sqref="G1"/>
      <selection pane="bottomLeft" activeCell="A13" sqref="A13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42370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42735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42735</v>
      </c>
      <c r="I11" s="13" t="s">
        <v>38</v>
      </c>
      <c r="J11" s="14">
        <v>42369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73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74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75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75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76</v>
      </c>
      <c r="F17" s="19" t="s">
        <v>77</v>
      </c>
      <c r="G17" s="20">
        <f xml:space="preserve"> 2400/I9</f>
        <v>2400</v>
      </c>
      <c r="H17" s="20"/>
      <c r="I17" s="20">
        <f xml:space="preserve"> 2400/I9</f>
        <v>2400</v>
      </c>
      <c r="J17" s="20"/>
      <c r="K17" s="21">
        <f>IF(ROUND(N($I$17),3) - ROUND(N($J$17),3)=0,0,(N($G$17)-N($H$17)-N($I$17)+N($J$17))/(N($I$17)-N($J$17)))</f>
        <v>0</v>
      </c>
    </row>
    <row r="18" spans="1:11" outlineLevel="3" x14ac:dyDescent="0.25">
      <c r="A18" s="10"/>
      <c r="B18" s="10"/>
      <c r="C18" s="10"/>
      <c r="D18" s="22" t="str">
        <f>CONCATENATE("Totaal"," ",$D$16)</f>
        <v>Totaal Overige kosten</v>
      </c>
      <c r="E18" s="10"/>
      <c r="F18" s="10"/>
      <c r="G18" s="23">
        <f>IF(SUBTOTAL(9,$G$17)&gt;=SUBTOTAL(9,$H$17),SUBTOTAL(9,$G$17)-SUBTOTAL(9,$H$17),"")</f>
        <v>2400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2400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4" x14ac:dyDescent="0.25">
      <c r="A20" s="10"/>
      <c r="B20" s="10"/>
      <c r="C20" s="10"/>
      <c r="D20" s="17" t="s">
        <v>46</v>
      </c>
      <c r="E20" s="10"/>
      <c r="F20" s="10"/>
      <c r="G20" s="10"/>
      <c r="H20" s="10"/>
      <c r="I20" s="10"/>
      <c r="J20" s="10"/>
      <c r="K20" s="10"/>
    </row>
    <row r="21" spans="1:11" outlineLevel="4" x14ac:dyDescent="0.25">
      <c r="A21" s="10"/>
      <c r="B21" s="10"/>
      <c r="C21" s="10"/>
      <c r="D21" s="10"/>
      <c r="E21" s="18" t="s">
        <v>78</v>
      </c>
      <c r="F21" s="19" t="s">
        <v>79</v>
      </c>
      <c r="G21" s="20">
        <f xml:space="preserve"> 6332.01/I9</f>
        <v>6332.01</v>
      </c>
      <c r="H21" s="20"/>
      <c r="I21" s="20">
        <f xml:space="preserve"> 7202.74/I9</f>
        <v>7202.74</v>
      </c>
      <c r="J21" s="20"/>
      <c r="K21" s="21">
        <f>IF(ROUND(N($I$21),3) - ROUND(N($J$21),3)=0,0,(N($G$21)-N($H$21)-N($I$21)+N($J$21))/(N($I$21)-N($J$21)))</f>
        <v>-0.12088871734923093</v>
      </c>
    </row>
    <row r="22" spans="1:11" outlineLevel="3" x14ac:dyDescent="0.25">
      <c r="A22" s="10"/>
      <c r="B22" s="10"/>
      <c r="C22" s="10"/>
      <c r="D22" s="22" t="str">
        <f>CONCATENATE("Totaal"," ",$D$20)</f>
        <v>Totaal Onroerend Goed</v>
      </c>
      <c r="E22" s="10"/>
      <c r="F22" s="10"/>
      <c r="G22" s="23">
        <f>IF(SUBTOTAL(9,$G$21)&gt;=SUBTOTAL(9,$H$21),SUBTOTAL(9,$G$21)-SUBTOTAL(9,$H$21),"")</f>
        <v>6332.01</v>
      </c>
      <c r="H22" s="23" t="str">
        <f>IF(SUBTOTAL(9,$G$21)&lt;SUBTOTAL(9,$H$21),SUBTOTAL(9,$H$21)-SUBTOTAL(9,$G$21),"")</f>
        <v/>
      </c>
      <c r="I22" s="23">
        <f>IF(SUBTOTAL(9,$I$21)&gt;=SUBTOTAL(9,$J$21),SUBTOTAL(9,$I$21)-SUBTOTAL(9,$J$21),"")</f>
        <v>7202.74</v>
      </c>
      <c r="J22" s="23" t="str">
        <f>IF(SUBTOTAL(9,$I$21)&lt;SUBTOTAL(9,$J$21),SUBTOTAL(9,$J$21)-SUBTOTAL(9,$I$21),"")</f>
        <v/>
      </c>
      <c r="K22" s="24">
        <f>IF(ROUND(N($I$22),3) - ROUND(N($J$22),3)=0,0,(N($G$22)-N($H$22)-N($I$22)+N($J$22))/(N($I$22)-N($J$22)))</f>
        <v>-0.12088871734923093</v>
      </c>
    </row>
    <row r="23" spans="1:11" outlineLevel="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outlineLevel="2" x14ac:dyDescent="0.25">
      <c r="A24" s="10"/>
      <c r="B24" s="10"/>
      <c r="C24" s="22" t="str">
        <f>CONCATENATE("Totaal"," ",$C$15)</f>
        <v>Totaal Overige kosten</v>
      </c>
      <c r="D24" s="10"/>
      <c r="E24" s="10"/>
      <c r="F24" s="10"/>
      <c r="G24" s="23">
        <f>IF(SUBTOTAL(9,$G$16:$G$23)&gt;=SUBTOTAL(9,$H$16:$H$23),SUBTOTAL(9,$G$16:$G$23)-SUBTOTAL(9,$H$16:$H$23),"")</f>
        <v>8732.01</v>
      </c>
      <c r="H24" s="23" t="str">
        <f>IF(SUBTOTAL(9,$G$16:$G$23)&lt;SUBTOTAL(9,$H$16:$H$23),SUBTOTAL(9,$H$16:$H$23)-SUBTOTAL(9,$G$16:$G$23),"")</f>
        <v/>
      </c>
      <c r="I24" s="23">
        <f>IF(SUBTOTAL(9,$I$16:$I$23)&gt;=SUBTOTAL(9,$J$16:$J$23),SUBTOTAL(9,$I$16:$I$23)-SUBTOTAL(9,$J$16:$J$23),"")</f>
        <v>9602.74</v>
      </c>
      <c r="J24" s="23" t="str">
        <f>IF(SUBTOTAL(9,$I$16:$I$23)&lt;SUBTOTAL(9,$J$16:$J$23),SUBTOTAL(9,$J$16:$J$23)-SUBTOTAL(9,$I$16:$I$23),"")</f>
        <v/>
      </c>
      <c r="K24" s="24">
        <f>IF(ROUND(N($I$24),3) - ROUND(N($J$24),3)=0,0,(N($G$24)-N($H$24)-N($I$24)+N($J$24))/(N($I$24)-N($J$24)))</f>
        <v>-9.0675161464332008E-2</v>
      </c>
    </row>
    <row r="25" spans="1:11" outlineLevel="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outlineLevel="3" x14ac:dyDescent="0.25">
      <c r="A26" s="10"/>
      <c r="B26" s="10"/>
      <c r="C26" s="17" t="s">
        <v>80</v>
      </c>
      <c r="D26" s="10"/>
      <c r="E26" s="10"/>
      <c r="F26" s="10"/>
      <c r="G26" s="10"/>
      <c r="H26" s="10"/>
      <c r="I26" s="10"/>
      <c r="J26" s="10"/>
      <c r="K26" s="10"/>
    </row>
    <row r="27" spans="1:11" outlineLevel="4" x14ac:dyDescent="0.25">
      <c r="A27" s="10"/>
      <c r="B27" s="10"/>
      <c r="C27" s="10"/>
      <c r="D27" s="17" t="s">
        <v>81</v>
      </c>
      <c r="E27" s="10"/>
      <c r="F27" s="10"/>
      <c r="G27" s="10"/>
      <c r="H27" s="10"/>
      <c r="I27" s="10"/>
      <c r="J27" s="10"/>
      <c r="K27" s="10"/>
    </row>
    <row r="28" spans="1:11" outlineLevel="4" x14ac:dyDescent="0.25">
      <c r="A28" s="10"/>
      <c r="B28" s="10"/>
      <c r="C28" s="10"/>
      <c r="D28" s="10"/>
      <c r="E28" s="18" t="s">
        <v>82</v>
      </c>
      <c r="F28" s="19" t="s">
        <v>83</v>
      </c>
      <c r="G28" s="20">
        <f xml:space="preserve"> 2167.2/I9</f>
        <v>2167.1999999999998</v>
      </c>
      <c r="H28" s="20"/>
      <c r="I28" s="20">
        <f xml:space="preserve"> 2111.6/I9</f>
        <v>2111.6</v>
      </c>
      <c r="J28" s="20"/>
      <c r="K28" s="21">
        <f>IF(ROUND(N($I$28),3) - ROUND(N($J$28),3)=0,0,(N($G$28)-N($H$28)-N($I$28)+N($J$28))/(N($I$28)-N($J$28)))</f>
        <v>2.6330744459177834E-2</v>
      </c>
    </row>
    <row r="29" spans="1:11" outlineLevel="3" x14ac:dyDescent="0.25">
      <c r="A29" s="10"/>
      <c r="B29" s="10"/>
      <c r="C29" s="10"/>
      <c r="D29" s="22" t="str">
        <f>CONCATENATE("Totaal"," ",$D$27)</f>
        <v>Totaal Bestuur</v>
      </c>
      <c r="E29" s="10"/>
      <c r="F29" s="10"/>
      <c r="G29" s="23">
        <f>IF(SUBTOTAL(9,$G$28)&gt;=SUBTOTAL(9,$H$28),SUBTOTAL(9,$G$28)-SUBTOTAL(9,$H$28),"")</f>
        <v>2167.1999999999998</v>
      </c>
      <c r="H29" s="23" t="str">
        <f>IF(SUBTOTAL(9,$G$28)&lt;SUBTOTAL(9,$H$28),SUBTOTAL(9,$H$28)-SUBTOTAL(9,$G$28),"")</f>
        <v/>
      </c>
      <c r="I29" s="23">
        <f>IF(SUBTOTAL(9,$I$28)&gt;=SUBTOTAL(9,$J$28),SUBTOTAL(9,$I$28)-SUBTOTAL(9,$J$28),"")</f>
        <v>2111.6</v>
      </c>
      <c r="J29" s="23" t="str">
        <f>IF(SUBTOTAL(9,$I$28)&lt;SUBTOTAL(9,$J$28),SUBTOTAL(9,$J$28)-SUBTOTAL(9,$I$28),"")</f>
        <v/>
      </c>
      <c r="K29" s="24">
        <f>IF(ROUND(N($I$29),3) - ROUND(N($J$29),3)=0,0,(N($G$29)-N($H$29)-N($I$29)+N($J$29))/(N($I$29)-N($J$29)))</f>
        <v>2.6330744459177834E-2</v>
      </c>
    </row>
    <row r="30" spans="1:11" outlineLevel="3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</row>
    <row r="31" spans="1:11" outlineLevel="4" x14ac:dyDescent="0.25">
      <c r="A31" s="10"/>
      <c r="B31" s="10"/>
      <c r="C31" s="10"/>
      <c r="D31" s="17" t="s">
        <v>84</v>
      </c>
      <c r="E31" s="10"/>
      <c r="F31" s="10"/>
      <c r="G31" s="10"/>
      <c r="H31" s="10"/>
      <c r="I31" s="10"/>
      <c r="J31" s="10"/>
      <c r="K31" s="10"/>
    </row>
    <row r="32" spans="1:11" outlineLevel="4" x14ac:dyDescent="0.25">
      <c r="A32" s="10"/>
      <c r="B32" s="10"/>
      <c r="C32" s="10"/>
      <c r="D32" s="10"/>
      <c r="E32" s="18" t="s">
        <v>85</v>
      </c>
      <c r="F32" s="19" t="s">
        <v>84</v>
      </c>
      <c r="G32" s="20">
        <f xml:space="preserve"> 9892.83/I9</f>
        <v>9892.83</v>
      </c>
      <c r="H32" s="20"/>
      <c r="I32" s="20">
        <f xml:space="preserve"> 12149.61/I9</f>
        <v>12149.61</v>
      </c>
      <c r="J32" s="20"/>
      <c r="K32" s="21">
        <f>IF(ROUND(N($I$32),3) - ROUND(N($J$32),3)=0,0,(N($G$32)-N($H$32)-N($I$32)+N($J$32))/(N($I$32)-N($J$32)))</f>
        <v>-0.18574917219565076</v>
      </c>
    </row>
    <row r="33" spans="1:11" outlineLevel="4" x14ac:dyDescent="0.25">
      <c r="A33" s="10"/>
      <c r="B33" s="10"/>
      <c r="C33" s="10"/>
      <c r="D33" s="10"/>
      <c r="E33" s="18" t="s">
        <v>86</v>
      </c>
      <c r="F33" s="19" t="s">
        <v>87</v>
      </c>
      <c r="G33" s="20">
        <f xml:space="preserve"> 111.68/I9</f>
        <v>111.68</v>
      </c>
      <c r="H33" s="20"/>
      <c r="I33" s="20">
        <f xml:space="preserve"> 103.54/I9</f>
        <v>103.54</v>
      </c>
      <c r="J33" s="20"/>
      <c r="K33" s="21">
        <f>IF(ROUND(N($I$33),3) - ROUND(N($J$33),3)=0,0,(N($G$33)-N($H$33)-N($I$33)+N($J$33))/(N($I$33)-N($J$33)))</f>
        <v>7.8616959629128846E-2</v>
      </c>
    </row>
    <row r="34" spans="1:11" outlineLevel="3" x14ac:dyDescent="0.25">
      <c r="A34" s="10"/>
      <c r="B34" s="10"/>
      <c r="C34" s="10"/>
      <c r="D34" s="22" t="str">
        <f>CONCATENATE("Totaal"," ",$D$31)</f>
        <v>Totaal Administratiekosten</v>
      </c>
      <c r="E34" s="10"/>
      <c r="F34" s="10"/>
      <c r="G34" s="23">
        <f>IF(SUBTOTAL(9,$G$32:$G$33)&gt;=SUBTOTAL(9,$H$32:$H$33),SUBTOTAL(9,$G$32:$G$33)-SUBTOTAL(9,$H$32:$H$33),"")</f>
        <v>10004.51</v>
      </c>
      <c r="H34" s="23" t="str">
        <f>IF(SUBTOTAL(9,$G$32:$G$33)&lt;SUBTOTAL(9,$H$32:$H$33),SUBTOTAL(9,$H$32:$H$33)-SUBTOTAL(9,$G$32:$G$33),"")</f>
        <v/>
      </c>
      <c r="I34" s="23">
        <f>IF(SUBTOTAL(9,$I$32:$I$33)&gt;=SUBTOTAL(9,$J$32:$J$33),SUBTOTAL(9,$I$32:$I$33)-SUBTOTAL(9,$J$32:$J$33),"")</f>
        <v>12253.150000000001</v>
      </c>
      <c r="J34" s="23" t="str">
        <f>IF(SUBTOTAL(9,$I$32:$I$33)&lt;SUBTOTAL(9,$J$32:$J$33),SUBTOTAL(9,$J$32:$J$33)-SUBTOTAL(9,$I$32:$I$33),"")</f>
        <v/>
      </c>
      <c r="K34" s="24">
        <f>IF(ROUND(N($I$34),3) - ROUND(N($J$34),3)=0,0,(N($G$34)-N($H$34)-N($I$34)+N($J$34))/(N($I$34)-N($J$34)))</f>
        <v>-0.18351525934147553</v>
      </c>
    </row>
    <row r="35" spans="1:11" outlineLevel="3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2" x14ac:dyDescent="0.25">
      <c r="A36" s="10"/>
      <c r="B36" s="10"/>
      <c r="C36" s="22" t="str">
        <f>CONCATENATE("Totaal"," ",$C$26)</f>
        <v>Totaal Stichtingskosten</v>
      </c>
      <c r="D36" s="10"/>
      <c r="E36" s="10"/>
      <c r="F36" s="10"/>
      <c r="G36" s="23">
        <f>IF(SUBTOTAL(9,$G$27:$G$35)&gt;=SUBTOTAL(9,$H$27:$H$35),SUBTOTAL(9,$G$27:$G$35)-SUBTOTAL(9,$H$27:$H$35),"")</f>
        <v>12171.71</v>
      </c>
      <c r="H36" s="23" t="str">
        <f>IF(SUBTOTAL(9,$G$27:$G$35)&lt;SUBTOTAL(9,$H$27:$H$35),SUBTOTAL(9,$H$27:$H$35)-SUBTOTAL(9,$G$27:$G$35),"")</f>
        <v/>
      </c>
      <c r="I36" s="23">
        <f>IF(SUBTOTAL(9,$I$27:$I$35)&gt;=SUBTOTAL(9,$J$27:$J$35),SUBTOTAL(9,$I$27:$I$35)-SUBTOTAL(9,$J$27:$J$35),"")</f>
        <v>14364.750000000002</v>
      </c>
      <c r="J36" s="23" t="str">
        <f>IF(SUBTOTAL(9,$I$27:$I$35)&lt;SUBTOTAL(9,$J$27:$J$35),SUBTOTAL(9,$J$27:$J$35)-SUBTOTAL(9,$I$27:$I$35),"")</f>
        <v/>
      </c>
      <c r="K36" s="24">
        <f>IF(ROUND(N($I$36),3) - ROUND(N($J$36),3)=0,0,(N($G$36)-N($H$36)-N($I$36)+N($J$36))/(N($I$36)-N($J$36)))</f>
        <v>-0.15266816338606676</v>
      </c>
    </row>
    <row r="37" spans="1:11" outlineLevel="2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1" outlineLevel="3" x14ac:dyDescent="0.25">
      <c r="A38" s="10"/>
      <c r="B38" s="10"/>
      <c r="C38" s="17" t="s">
        <v>88</v>
      </c>
      <c r="D38" s="10"/>
      <c r="E38" s="10"/>
      <c r="F38" s="10"/>
      <c r="G38" s="10"/>
      <c r="H38" s="10"/>
      <c r="I38" s="10"/>
      <c r="J38" s="10"/>
      <c r="K38" s="10"/>
    </row>
    <row r="39" spans="1:11" outlineLevel="4" x14ac:dyDescent="0.25">
      <c r="A39" s="10"/>
      <c r="B39" s="10"/>
      <c r="C39" s="10"/>
      <c r="D39" s="17" t="s">
        <v>89</v>
      </c>
      <c r="E39" s="10"/>
      <c r="F39" s="10"/>
      <c r="G39" s="10"/>
      <c r="H39" s="10"/>
      <c r="I39" s="10"/>
      <c r="J39" s="10"/>
      <c r="K39" s="10"/>
    </row>
    <row r="40" spans="1:11" outlineLevel="4" x14ac:dyDescent="0.25">
      <c r="A40" s="10"/>
      <c r="B40" s="10"/>
      <c r="C40" s="10"/>
      <c r="D40" s="10"/>
      <c r="E40" s="18" t="s">
        <v>90</v>
      </c>
      <c r="F40" s="19" t="s">
        <v>91</v>
      </c>
      <c r="G40" s="20">
        <f xml:space="preserve"> 2700/I9</f>
        <v>2700</v>
      </c>
      <c r="H40" s="20"/>
      <c r="I40" s="20">
        <f xml:space="preserve"> 3050/I9</f>
        <v>3050</v>
      </c>
      <c r="J40" s="20"/>
      <c r="K40" s="21">
        <f>IF(ROUND(N($I$40),3) - ROUND(N($J$40),3)=0,0,(N($G$40)-N($H$40)-N($I$40)+N($J$40))/(N($I$40)-N($J$40)))</f>
        <v>-0.11475409836065574</v>
      </c>
    </row>
    <row r="41" spans="1:11" outlineLevel="3" x14ac:dyDescent="0.25">
      <c r="A41" s="10"/>
      <c r="B41" s="10"/>
      <c r="C41" s="10"/>
      <c r="D41" s="22" t="str">
        <f>CONCATENATE("Totaal"," ",$D$39)</f>
        <v>Totaal Uitgaande donaties</v>
      </c>
      <c r="E41" s="10"/>
      <c r="F41" s="10"/>
      <c r="G41" s="23">
        <f>IF(SUBTOTAL(9,$G$40)&gt;=SUBTOTAL(9,$H$40),SUBTOTAL(9,$G$40)-SUBTOTAL(9,$H$40),"")</f>
        <v>2700</v>
      </c>
      <c r="H41" s="23" t="str">
        <f>IF(SUBTOTAL(9,$G$40)&lt;SUBTOTAL(9,$H$40),SUBTOTAL(9,$H$40)-SUBTOTAL(9,$G$40),"")</f>
        <v/>
      </c>
      <c r="I41" s="23">
        <f>IF(SUBTOTAL(9,$I$40)&gt;=SUBTOTAL(9,$J$40),SUBTOTAL(9,$I$40)-SUBTOTAL(9,$J$40),"")</f>
        <v>3050</v>
      </c>
      <c r="J41" s="23" t="str">
        <f>IF(SUBTOTAL(9,$I$40)&lt;SUBTOTAL(9,$J$40),SUBTOTAL(9,$J$40)-SUBTOTAL(9,$I$40),"")</f>
        <v/>
      </c>
      <c r="K41" s="24">
        <f>IF(ROUND(N($I$41),3) - ROUND(N($J$41),3)=0,0,(N($G$41)-N($H$41)-N($I$41)+N($J$41))/(N($I$41)-N($J$41)))</f>
        <v>-0.11475409836065574</v>
      </c>
    </row>
    <row r="42" spans="1:11" outlineLevel="3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outlineLevel="2" x14ac:dyDescent="0.25">
      <c r="A43" s="10"/>
      <c r="B43" s="10"/>
      <c r="C43" s="22" t="str">
        <f>CONCATENATE("Totaal"," ",$C$38)</f>
        <v>Totaal Uitgaven</v>
      </c>
      <c r="D43" s="10"/>
      <c r="E43" s="10"/>
      <c r="F43" s="10"/>
      <c r="G43" s="23">
        <f>IF(SUBTOTAL(9,$G$39:$G$42)&gt;=SUBTOTAL(9,$H$39:$H$42),SUBTOTAL(9,$G$39:$G$42)-SUBTOTAL(9,$H$39:$H$42),"")</f>
        <v>2700</v>
      </c>
      <c r="H43" s="23" t="str">
        <f>IF(SUBTOTAL(9,$G$39:$G$42)&lt;SUBTOTAL(9,$H$39:$H$42),SUBTOTAL(9,$H$39:$H$42)-SUBTOTAL(9,$G$39:$G$42),"")</f>
        <v/>
      </c>
      <c r="I43" s="23">
        <f>IF(SUBTOTAL(9,$I$39:$I$42)&gt;=SUBTOTAL(9,$J$39:$J$42),SUBTOTAL(9,$I$39:$I$42)-SUBTOTAL(9,$J$39:$J$42),"")</f>
        <v>3050</v>
      </c>
      <c r="J43" s="23" t="str">
        <f>IF(SUBTOTAL(9,$I$39:$I$42)&lt;SUBTOTAL(9,$J$39:$J$42),SUBTOTAL(9,$J$39:$J$42)-SUBTOTAL(9,$I$39:$I$42),"")</f>
        <v/>
      </c>
      <c r="K43" s="24">
        <f>IF(ROUND(N($I$43),3) - ROUND(N($J$43),3)=0,0,(N($G$43)-N($H$43)-N($I$43)+N($J$43))/(N($I$43)-N($J$43)))</f>
        <v>-0.11475409836065574</v>
      </c>
    </row>
    <row r="44" spans="1:11" outlineLevel="2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outlineLevel="1" x14ac:dyDescent="0.25">
      <c r="A45" s="10"/>
      <c r="B45" s="22" t="str">
        <f>CONCATENATE("Totaal"," ",$B$14)</f>
        <v>Totaal Kosten</v>
      </c>
      <c r="C45" s="10"/>
      <c r="D45" s="10"/>
      <c r="E45" s="10"/>
      <c r="F45" s="10"/>
      <c r="G45" s="23">
        <f>IF(SUBTOTAL(9,$G$15:$G$44)&gt;=SUBTOTAL(9,$H$15:$H$44),SUBTOTAL(9,$G$15:$G$44)-SUBTOTAL(9,$H$15:$H$44),"")</f>
        <v>23603.72</v>
      </c>
      <c r="H45" s="23" t="str">
        <f>IF(SUBTOTAL(9,$G$15:$G$44)&lt;SUBTOTAL(9,$H$15:$H$44),SUBTOTAL(9,$H$15:$H$44)-SUBTOTAL(9,$G$15:$G$44),"")</f>
        <v/>
      </c>
      <c r="I45" s="23">
        <f>IF(SUBTOTAL(9,$I$15:$I$44)&gt;=SUBTOTAL(9,$J$15:$J$44),SUBTOTAL(9,$I$15:$I$44)-SUBTOTAL(9,$J$15:$J$44),"")</f>
        <v>27017.49</v>
      </c>
      <c r="J45" s="23" t="str">
        <f>IF(SUBTOTAL(9,$I$15:$I$44)&lt;SUBTOTAL(9,$J$15:$J$44),SUBTOTAL(9,$J$15:$J$44)-SUBTOTAL(9,$I$15:$I$44),"")</f>
        <v/>
      </c>
      <c r="K45" s="24">
        <f>IF(ROUND(N($I$45),3) - ROUND(N($J$45),3)=0,0,(N($G$45)-N($H$45)-N($I$45)+N($J$45))/(N($I$45)-N($J$45)))</f>
        <v>-0.1263540765629968</v>
      </c>
    </row>
    <row r="46" spans="1:11" outlineLevel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outlineLevel="2" x14ac:dyDescent="0.25">
      <c r="A47" s="10"/>
      <c r="B47" s="17" t="s">
        <v>92</v>
      </c>
      <c r="C47" s="10"/>
      <c r="D47" s="10"/>
      <c r="E47" s="10"/>
      <c r="F47" s="10"/>
      <c r="G47" s="10"/>
      <c r="H47" s="10"/>
      <c r="I47" s="10"/>
      <c r="J47" s="10"/>
      <c r="K47" s="10"/>
    </row>
    <row r="48" spans="1:11" outlineLevel="3" x14ac:dyDescent="0.25">
      <c r="A48" s="10"/>
      <c r="B48" s="10"/>
      <c r="C48" s="17" t="s">
        <v>93</v>
      </c>
      <c r="D48" s="10"/>
      <c r="E48" s="10"/>
      <c r="F48" s="10"/>
      <c r="G48" s="10"/>
      <c r="H48" s="10"/>
      <c r="I48" s="10"/>
      <c r="J48" s="10"/>
      <c r="K48" s="10"/>
    </row>
    <row r="49" spans="1:11" outlineLevel="4" x14ac:dyDescent="0.25">
      <c r="A49" s="10"/>
      <c r="B49" s="10"/>
      <c r="C49" s="10"/>
      <c r="D49" s="17" t="s">
        <v>94</v>
      </c>
      <c r="E49" s="10"/>
      <c r="F49" s="10"/>
      <c r="G49" s="10"/>
      <c r="H49" s="10"/>
      <c r="I49" s="10"/>
      <c r="J49" s="10"/>
      <c r="K49" s="10"/>
    </row>
    <row r="50" spans="1:11" outlineLevel="4" x14ac:dyDescent="0.25">
      <c r="A50" s="10"/>
      <c r="B50" s="10"/>
      <c r="C50" s="10"/>
      <c r="D50" s="10"/>
      <c r="E50" s="18" t="s">
        <v>95</v>
      </c>
      <c r="F50" s="19" t="s">
        <v>96</v>
      </c>
      <c r="G50" s="20"/>
      <c r="H50" s="20">
        <f xml:space="preserve"> 3021.88/I9</f>
        <v>3021.88</v>
      </c>
      <c r="I50" s="20"/>
      <c r="J50" s="20">
        <f xml:space="preserve"> 18/I9</f>
        <v>18</v>
      </c>
      <c r="K50" s="21">
        <f>IF(ROUND(N($I$50),3) - ROUND(N($J$50),3)=0,0,(N($G$50)-N($H$50)-N($I$50)+N($J$50))/(N($I$50)-N($J$50)))</f>
        <v>166.88222222222223</v>
      </c>
    </row>
    <row r="51" spans="1:11" outlineLevel="3" x14ac:dyDescent="0.25">
      <c r="A51" s="10"/>
      <c r="B51" s="10"/>
      <c r="C51" s="10"/>
      <c r="D51" s="22" t="str">
        <f>CONCATENATE("Totaal"," ",$D$49)</f>
        <v>Totaal Ontvangen donaties</v>
      </c>
      <c r="E51" s="10"/>
      <c r="F51" s="10"/>
      <c r="G51" s="23" t="str">
        <f>IF(SUBTOTAL(9,$G$50)&gt;=SUBTOTAL(9,$H$50),SUBTOTAL(9,$G$50)-SUBTOTAL(9,$H$50),"")</f>
        <v/>
      </c>
      <c r="H51" s="23">
        <f>IF(SUBTOTAL(9,$G$50)&lt;SUBTOTAL(9,$H$50),SUBTOTAL(9,$H$50)-SUBTOTAL(9,$G$50),"")</f>
        <v>3021.88</v>
      </c>
      <c r="I51" s="23" t="str">
        <f>IF(SUBTOTAL(9,$I$50)&gt;=SUBTOTAL(9,$J$50),SUBTOTAL(9,$I$50)-SUBTOTAL(9,$J$50),"")</f>
        <v/>
      </c>
      <c r="J51" s="23">
        <f>IF(SUBTOTAL(9,$I$50)&lt;SUBTOTAL(9,$J$50),SUBTOTAL(9,$J$50)-SUBTOTAL(9,$I$50),"")</f>
        <v>18</v>
      </c>
      <c r="K51" s="24">
        <f>IF(ROUND(N($I$51),3) - ROUND(N($J$51),3)=0,0,(N($G$51)-N($H$51)-N($I$51)+N($J$51))/(N($I$51)-N($J$51)))</f>
        <v>166.88222222222223</v>
      </c>
    </row>
    <row r="52" spans="1:11" outlineLevel="3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outlineLevel="4" x14ac:dyDescent="0.25">
      <c r="A53" s="10"/>
      <c r="B53" s="10"/>
      <c r="C53" s="10"/>
      <c r="D53" s="17" t="s">
        <v>97</v>
      </c>
      <c r="E53" s="10"/>
      <c r="F53" s="10"/>
      <c r="G53" s="10"/>
      <c r="H53" s="10"/>
      <c r="I53" s="10"/>
      <c r="J53" s="10"/>
      <c r="K53" s="10"/>
    </row>
    <row r="54" spans="1:11" outlineLevel="4" x14ac:dyDescent="0.25">
      <c r="A54" s="10"/>
      <c r="B54" s="10"/>
      <c r="C54" s="10"/>
      <c r="D54" s="10"/>
      <c r="E54" s="18" t="s">
        <v>98</v>
      </c>
      <c r="F54" s="19" t="s">
        <v>99</v>
      </c>
      <c r="G54" s="20"/>
      <c r="H54" s="20">
        <f xml:space="preserve"> 20281.44/I9</f>
        <v>20281.439999999999</v>
      </c>
      <c r="I54" s="20"/>
      <c r="J54" s="20">
        <f xml:space="preserve"> 18940.9/I9</f>
        <v>18940.900000000001</v>
      </c>
      <c r="K54" s="21">
        <f>IF(ROUND(N($I$54),3) - ROUND(N($J$54),3)=0,0,(N($G$54)-N($H$54)-N($I$54)+N($J$54))/(N($I$54)-N($J$54)))</f>
        <v>7.0774883981225667E-2</v>
      </c>
    </row>
    <row r="55" spans="1:11" outlineLevel="3" x14ac:dyDescent="0.25">
      <c r="A55" s="10"/>
      <c r="B55" s="10"/>
      <c r="C55" s="10"/>
      <c r="D55" s="22" t="str">
        <f>CONCATENATE("Totaal"," ",$D$53)</f>
        <v>Totaal Ontvangen huur</v>
      </c>
      <c r="E55" s="10"/>
      <c r="F55" s="10"/>
      <c r="G55" s="23" t="str">
        <f>IF(SUBTOTAL(9,$G$54)&gt;=SUBTOTAL(9,$H$54),SUBTOTAL(9,$G$54)-SUBTOTAL(9,$H$54),"")</f>
        <v/>
      </c>
      <c r="H55" s="23">
        <f>IF(SUBTOTAL(9,$G$54)&lt;SUBTOTAL(9,$H$54),SUBTOTAL(9,$H$54)-SUBTOTAL(9,$G$54),"")</f>
        <v>20281.439999999999</v>
      </c>
      <c r="I55" s="23" t="str">
        <f>IF(SUBTOTAL(9,$I$54)&gt;=SUBTOTAL(9,$J$54),SUBTOTAL(9,$I$54)-SUBTOTAL(9,$J$54),"")</f>
        <v/>
      </c>
      <c r="J55" s="23">
        <f>IF(SUBTOTAL(9,$I$54)&lt;SUBTOTAL(9,$J$54),SUBTOTAL(9,$J$54)-SUBTOTAL(9,$I$54),"")</f>
        <v>18940.900000000001</v>
      </c>
      <c r="K55" s="24">
        <f>IF(ROUND(N($I$55),3) - ROUND(N($J$55),3)=0,0,(N($G$55)-N($H$55)-N($I$55)+N($J$55))/(N($I$55)-N($J$55)))</f>
        <v>7.0774883981225667E-2</v>
      </c>
    </row>
    <row r="56" spans="1:11" outlineLevel="3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 outlineLevel="4" x14ac:dyDescent="0.25">
      <c r="A57" s="10"/>
      <c r="B57" s="10"/>
      <c r="C57" s="10"/>
      <c r="D57" s="17" t="s">
        <v>100</v>
      </c>
      <c r="E57" s="10"/>
      <c r="F57" s="10"/>
      <c r="G57" s="10"/>
      <c r="H57" s="10"/>
      <c r="I57" s="10"/>
      <c r="J57" s="10"/>
      <c r="K57" s="10"/>
    </row>
    <row r="58" spans="1:11" outlineLevel="4" x14ac:dyDescent="0.25">
      <c r="A58" s="10"/>
      <c r="B58" s="10"/>
      <c r="C58" s="10"/>
      <c r="D58" s="10"/>
      <c r="E58" s="18" t="s">
        <v>101</v>
      </c>
      <c r="F58" s="19" t="s">
        <v>102</v>
      </c>
      <c r="G58" s="20"/>
      <c r="H58" s="20">
        <f xml:space="preserve"> 22469.35/I9</f>
        <v>22469.35</v>
      </c>
      <c r="I58" s="20"/>
      <c r="J58" s="20">
        <f xml:space="preserve"> 26532.95/I9</f>
        <v>26532.95</v>
      </c>
      <c r="K58" s="21">
        <f>IF(ROUND(N($I$58),3) - ROUND(N($J$58),3)=0,0,(N($G$58)-N($H$58)-N($I$58)+N($J$58))/(N($I$58)-N($J$58)))</f>
        <v>-0.15315296640592177</v>
      </c>
    </row>
    <row r="59" spans="1:11" outlineLevel="4" x14ac:dyDescent="0.25">
      <c r="A59" s="10"/>
      <c r="B59" s="10"/>
      <c r="C59" s="10"/>
      <c r="D59" s="10"/>
      <c r="E59" s="18" t="s">
        <v>103</v>
      </c>
      <c r="F59" s="19" t="s">
        <v>104</v>
      </c>
      <c r="G59" s="20">
        <f xml:space="preserve"> 16052.26/I9</f>
        <v>16052.26</v>
      </c>
      <c r="H59" s="20"/>
      <c r="I59" s="20">
        <f xml:space="preserve"> 16351.49/I9</f>
        <v>16351.49</v>
      </c>
      <c r="J59" s="20"/>
      <c r="K59" s="21">
        <f>IF(ROUND(N($I$59),3) - ROUND(N($J$59),3)=0,0,(N($G$59)-N($H$59)-N($I$59)+N($J$59))/(N($I$59)-N($J$59)))</f>
        <v>-1.8299861358200359E-2</v>
      </c>
    </row>
    <row r="60" spans="1:11" outlineLevel="3" x14ac:dyDescent="0.25">
      <c r="A60" s="10"/>
      <c r="B60" s="10"/>
      <c r="C60" s="10"/>
      <c r="D60" s="22" t="str">
        <f>CONCATENATE("Totaal"," ",$D$57)</f>
        <v>Totaal Financiële resultaat</v>
      </c>
      <c r="E60" s="10"/>
      <c r="F60" s="10"/>
      <c r="G60" s="23" t="str">
        <f>IF(SUBTOTAL(9,$G$58:$G$59)&gt;=SUBTOTAL(9,$H$58:$H$59),SUBTOTAL(9,$G$58:$G$59)-SUBTOTAL(9,$H$58:$H$59),"")</f>
        <v/>
      </c>
      <c r="H60" s="23">
        <f>IF(SUBTOTAL(9,$G$58:$G$59)&lt;SUBTOTAL(9,$H$58:$H$59),SUBTOTAL(9,$H$58:$H$59)-SUBTOTAL(9,$G$58:$G$59),"")</f>
        <v>6417.0899999999983</v>
      </c>
      <c r="I60" s="23" t="str">
        <f>IF(SUBTOTAL(9,$I$58:$I$59)&gt;=SUBTOTAL(9,$J$58:$J$59),SUBTOTAL(9,$I$58:$I$59)-SUBTOTAL(9,$J$58:$J$59),"")</f>
        <v/>
      </c>
      <c r="J60" s="23">
        <f>IF(SUBTOTAL(9,$I$58:$I$59)&lt;SUBTOTAL(9,$J$58:$J$59),SUBTOTAL(9,$J$58:$J$59)-SUBTOTAL(9,$I$58:$I$59),"")</f>
        <v>10181.460000000001</v>
      </c>
      <c r="K60" s="24">
        <f>IF(ROUND(N($I$60),3) - ROUND(N($J$60),3)=0,0,(N($G$60)-N($H$60)-N($I$60)+N($J$60))/(N($I$60)-N($J$60)))</f>
        <v>-0.36972791721423082</v>
      </c>
    </row>
    <row r="61" spans="1:11" outlineLevel="3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</row>
    <row r="62" spans="1:11" outlineLevel="2" x14ac:dyDescent="0.25">
      <c r="A62" s="10"/>
      <c r="B62" s="10"/>
      <c r="C62" s="22" t="str">
        <f>CONCATENATE("Totaal"," ",$C$48)</f>
        <v>Totaal Ontvangsten</v>
      </c>
      <c r="D62" s="10"/>
      <c r="E62" s="10"/>
      <c r="F62" s="10"/>
      <c r="G62" s="23" t="str">
        <f>IF(SUBTOTAL(9,$G$49:$G$61)&gt;=SUBTOTAL(9,$H$49:$H$61),SUBTOTAL(9,$G$49:$G$61)-SUBTOTAL(9,$H$49:$H$61),"")</f>
        <v/>
      </c>
      <c r="H62" s="23">
        <f>IF(SUBTOTAL(9,$G$49:$G$61)&lt;SUBTOTAL(9,$H$49:$H$61),SUBTOTAL(9,$H$49:$H$61)-SUBTOTAL(9,$G$49:$G$61),"")</f>
        <v>29720.409999999996</v>
      </c>
      <c r="I62" s="23" t="str">
        <f>IF(SUBTOTAL(9,$I$49:$I$61)&gt;=SUBTOTAL(9,$J$49:$J$61),SUBTOTAL(9,$I$49:$I$61)-SUBTOTAL(9,$J$49:$J$61),"")</f>
        <v/>
      </c>
      <c r="J62" s="23">
        <f>IF(SUBTOTAL(9,$I$49:$I$61)&lt;SUBTOTAL(9,$J$49:$J$61),SUBTOTAL(9,$J$49:$J$61)-SUBTOTAL(9,$I$49:$I$61),"")</f>
        <v>29140.360000000008</v>
      </c>
      <c r="K62" s="24">
        <f>IF(ROUND(N($I$62),3) - ROUND(N($J$62),3)=0,0,(N($G$62)-N($H$62)-N($I$62)+N($J$62))/(N($I$62)-N($J$62)))</f>
        <v>1.9905382088621699E-2</v>
      </c>
    </row>
    <row r="63" spans="1:11" outlineLevel="2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</row>
    <row r="64" spans="1:11" outlineLevel="1" x14ac:dyDescent="0.25">
      <c r="A64" s="10"/>
      <c r="B64" s="22" t="str">
        <f>CONCATENATE("Totaal"," ",$B$47)</f>
        <v>Totaal Opbrengsten</v>
      </c>
      <c r="C64" s="10"/>
      <c r="D64" s="10"/>
      <c r="E64" s="10"/>
      <c r="F64" s="10"/>
      <c r="G64" s="23" t="str">
        <f>IF(SUBTOTAL(9,$G$48:$G$63)&gt;=SUBTOTAL(9,$H$48:$H$63),SUBTOTAL(9,$G$48:$G$63)-SUBTOTAL(9,$H$48:$H$63),"")</f>
        <v/>
      </c>
      <c r="H64" s="23">
        <f>IF(SUBTOTAL(9,$G$48:$G$63)&lt;SUBTOTAL(9,$H$48:$H$63),SUBTOTAL(9,$H$48:$H$63)-SUBTOTAL(9,$G$48:$G$63),"")</f>
        <v>29720.409999999996</v>
      </c>
      <c r="I64" s="23" t="str">
        <f>IF(SUBTOTAL(9,$I$48:$I$63)&gt;=SUBTOTAL(9,$J$48:$J$63),SUBTOTAL(9,$I$48:$I$63)-SUBTOTAL(9,$J$48:$J$63),"")</f>
        <v/>
      </c>
      <c r="J64" s="23">
        <f>IF(SUBTOTAL(9,$I$48:$I$63)&lt;SUBTOTAL(9,$J$48:$J$63),SUBTOTAL(9,$J$48:$J$63)-SUBTOTAL(9,$I$48:$I$63),"")</f>
        <v>29140.360000000008</v>
      </c>
      <c r="K64" s="24">
        <f>IF(ROUND(N($I$64),3) - ROUND(N($J$64),3)=0,0,(N($G$64)-N($H$64)-N($I$64)+N($J$64))/(N($I$64)-N($J$64)))</f>
        <v>1.9905382088621699E-2</v>
      </c>
    </row>
    <row r="65" spans="1:11" outlineLevel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</row>
    <row r="66" spans="1:11" x14ac:dyDescent="0.25">
      <c r="A66" s="22" t="str">
        <f>CONCATENATE("Totaal"," ",$A$13)</f>
        <v>Totaal Resultatenrekening</v>
      </c>
      <c r="B66" s="10"/>
      <c r="C66" s="10"/>
      <c r="D66" s="10"/>
      <c r="E66" s="10"/>
      <c r="F66" s="10"/>
      <c r="G66" s="23" t="str">
        <f>IF(SUBTOTAL(9,$G$14:$G$65)&gt;=SUBTOTAL(9,$H$14:$H$65),SUBTOTAL(9,$G$14:$G$65)-SUBTOTAL(9,$H$14:$H$65),"")</f>
        <v/>
      </c>
      <c r="H66" s="23">
        <f>IF(SUBTOTAL(9,$G$14:$G$65)&lt;SUBTOTAL(9,$H$14:$H$65),SUBTOTAL(9,$H$14:$H$65)-SUBTOTAL(9,$G$14:$G$65),"")</f>
        <v>6116.6899999999951</v>
      </c>
      <c r="I66" s="23" t="str">
        <f>IF(SUBTOTAL(9,$I$14:$I$65)&gt;=SUBTOTAL(9,$J$14:$J$65),SUBTOTAL(9,$I$14:$I$65)-SUBTOTAL(9,$J$14:$J$65),"")</f>
        <v/>
      </c>
      <c r="J66" s="23">
        <f>IF(SUBTOTAL(9,$I$14:$I$65)&lt;SUBTOTAL(9,$J$14:$J$65),SUBTOTAL(9,$J$14:$J$65)-SUBTOTAL(9,$I$14:$I$65),"")</f>
        <v>2122.8700000000026</v>
      </c>
      <c r="K66" s="24">
        <f>IF(ROUND(N($I$66),3) - ROUND(N($J$66),3)=0,0,(N($G$66)-N($H$66)-N($I$66)+N($J$66))/(N($I$66)-N($J$66)))</f>
        <v>1.8813304630052652</v>
      </c>
    </row>
    <row r="67" spans="1:1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</row>
    <row r="68" spans="1:11" x14ac:dyDescent="0.25">
      <c r="A68" s="22" t="str">
        <f>IF(SUBTOTAL(9,$G$13:$G$67)&lt;SUBTOTAL(9,$H$13:$H$67),"Winstsaldo","Saldoverlies")</f>
        <v>Winstsaldo</v>
      </c>
      <c r="B68" s="10"/>
      <c r="C68" s="10"/>
      <c r="D68" s="10"/>
      <c r="E68" s="10"/>
      <c r="F68" s="10"/>
      <c r="G68" s="23">
        <f>IF(SUBTOTAL(9,$G$13:$G$67)&lt;=SUBTOTAL(9,$H$13:$H$67),SUBTOTAL(9,$H$13:$H$67)-SUBTOTAL(9,$G$13:$G$67),"")</f>
        <v>6116.6899999999951</v>
      </c>
      <c r="H68" s="23" t="str">
        <f>IF(SUBTOTAL(9,$G$13:$G$67)&gt;SUBTOTAL(9,$H$13:$H$67),SUBTOTAL(9,$G$13:$G$67)-SUBTOTAL(9,$H$13:$H$67),"")</f>
        <v/>
      </c>
      <c r="I68" s="23">
        <f>IF(SUBTOTAL(9,$I$13:$I$67)&lt;=SUBTOTAL(9,$J$13:$J$67),SUBTOTAL(9,$J$13:$J$67)-SUBTOTAL(9,$I$13:$I$67),"")</f>
        <v>2122.8700000000026</v>
      </c>
      <c r="J68" s="23" t="str">
        <f>IF(SUBTOTAL(9,$I$13:$I$67)&gt;SUBTOTAL(9,$J$13:$J$67),SUBTOTAL(9,$I$13:$I$67)-SUBTOTAL(9,$J$13:$J$67),"")</f>
        <v/>
      </c>
      <c r="K68" s="24">
        <f>IF(ROUND(N($I$68),3) - ROUND(N($J$68),3)=0,0,(N($G$68)-N($H$68)-N($I$68)+N($J$68))/(N($I$68)-N($J$68)))</f>
        <v>1.8813304630052652</v>
      </c>
    </row>
    <row r="69" spans="1:1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</row>
    <row r="70" spans="1:11" x14ac:dyDescent="0.25">
      <c r="A70" s="25" t="s">
        <v>105</v>
      </c>
      <c r="B70" s="26"/>
      <c r="C70" s="26"/>
      <c r="D70" s="26"/>
      <c r="E70" s="26"/>
      <c r="F70" s="26"/>
      <c r="G70" s="27">
        <f>SUM($G$66,$G$68)</f>
        <v>6116.6899999999951</v>
      </c>
      <c r="H70" s="27">
        <f>SUM($H$66,$H$68)</f>
        <v>6116.6899999999951</v>
      </c>
      <c r="I70" s="27">
        <f>SUM($I$66,$I$68)</f>
        <v>2122.8700000000026</v>
      </c>
      <c r="J70" s="27">
        <f>SUM($J$66,$J$68)</f>
        <v>2122.8700000000026</v>
      </c>
      <c r="K70" s="28"/>
    </row>
    <row r="71" spans="1:1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</row>
    <row r="72" spans="1:11" x14ac:dyDescent="0.25">
      <c r="A72" s="25" t="s">
        <v>106</v>
      </c>
      <c r="B72" s="26"/>
      <c r="C72" s="26"/>
      <c r="D72" s="26"/>
      <c r="E72" s="26"/>
      <c r="F72" s="26"/>
      <c r="G72" s="27">
        <f>Balans!$G$73+$G$70</f>
        <v>12233.379999999706</v>
      </c>
      <c r="H72" s="27">
        <f>Balans!$H$73+$H$70</f>
        <v>12233.379999999706</v>
      </c>
      <c r="I72" s="27">
        <f>Balans!$I$73+$I$70</f>
        <v>4245.7399999998815</v>
      </c>
      <c r="J72" s="27">
        <f>Balans!$J$73+$J$70</f>
        <v>4245.7399999998815</v>
      </c>
      <c r="K72" s="29">
        <f>Balans!$K$73+$K$70</f>
        <v>0</v>
      </c>
    </row>
    <row r="73" spans="1:11" hidden="1" x14ac:dyDescent="0.25"/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&amp;LWinst &amp; Verlies - Bj 2016, 004 Stichting Co Schippers Fonds&amp;R4-9-2017 13:41:04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5" x14ac:dyDescent="0.25"/>
  <cols>
    <col min="1" max="1" width="22.7109375" customWidth="1"/>
    <col min="2" max="2" width="20.7109375" customWidth="1"/>
    <col min="3" max="9" width="16.7109375" customWidth="1"/>
    <col min="10" max="10" width="0" hidden="1" customWidth="1"/>
  </cols>
  <sheetData>
    <row r="1" spans="1:11" ht="19.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</row>
    <row r="2" spans="1:11" ht="19.5" x14ac:dyDescent="0.25">
      <c r="A2" s="1" t="s">
        <v>12</v>
      </c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 t="s">
        <v>13</v>
      </c>
      <c r="C4" s="2" t="s">
        <v>4</v>
      </c>
      <c r="D4" s="2"/>
      <c r="E4" s="2"/>
      <c r="F4" s="2"/>
      <c r="G4" s="2"/>
      <c r="H4" s="2"/>
      <c r="I4" s="2"/>
      <c r="J4" s="2"/>
      <c r="K4" s="2"/>
    </row>
    <row r="5" spans="1:11" x14ac:dyDescent="0.25">
      <c r="A5" s="2" t="s">
        <v>14</v>
      </c>
      <c r="B5" s="4">
        <v>42370</v>
      </c>
      <c r="C5" s="4">
        <v>42735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15</v>
      </c>
      <c r="B6" s="8" t="s">
        <v>6</v>
      </c>
      <c r="C6" s="9" t="s">
        <v>7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16</v>
      </c>
      <c r="B8" s="8" t="s">
        <v>17</v>
      </c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18</v>
      </c>
      <c r="B9" s="8">
        <v>0</v>
      </c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 t="s">
        <v>19</v>
      </c>
      <c r="B10" s="8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 t="s">
        <v>20</v>
      </c>
      <c r="B11" s="8" t="s">
        <v>9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 t="s">
        <v>21</v>
      </c>
      <c r="B12" s="8" t="s">
        <v>22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 t="s">
        <v>23</v>
      </c>
      <c r="B13" s="8">
        <v>2016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 t="s">
        <v>24</v>
      </c>
      <c r="B14" s="8" t="s">
        <v>2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 t="s">
        <v>8</v>
      </c>
      <c r="B15" s="2" t="s">
        <v>9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 t="s">
        <v>25</v>
      </c>
      <c r="B16" s="8" t="s">
        <v>26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 t="s">
        <v>27</v>
      </c>
      <c r="B17" s="8" t="s">
        <v>28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 t="s">
        <v>29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 t="s">
        <v>30</v>
      </c>
      <c r="B20" s="2" t="s">
        <v>31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 t="s">
        <v>32</v>
      </c>
      <c r="B21" s="2" t="s">
        <v>33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 t="s">
        <v>34</v>
      </c>
      <c r="B22" s="2" t="s">
        <v>35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 t="s">
        <v>36</v>
      </c>
      <c r="B23" s="2" t="s">
        <v>37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004 Stichting Co Schippers Fonds&amp;R4-9-2017 13:41:10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Rutger Fiesler</cp:lastModifiedBy>
  <dcterms:created xsi:type="dcterms:W3CDTF">2017-09-04T11:40:53Z</dcterms:created>
  <dcterms:modified xsi:type="dcterms:W3CDTF">2017-09-04T11:42:14Z</dcterms:modified>
</cp:coreProperties>
</file>